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<sst xmlns="http://schemas.openxmlformats.org/spreadsheetml/2006/main" uniqueCount="1220">
  <si>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</si>
  <si>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</si>
  <si>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</si>
  <si>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</si>
  <si>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</si>
  <si>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</si>
  <si>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</si>
  <si>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</si>
  <si>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</si>
  <si>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</si>
  <si>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</si>
  <si>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</si>
  <si>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</si>
  <si>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</si>
  <si>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</si>
  <si>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</si>
  <si>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</si>
  <si>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</si>
  <si>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</si>
  <si>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</si>
  <si>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</si>
  <si>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</si>
  <si>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</si>
  <si>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t>Packages</t>
  </si>
  <si>
    <t>N-CHANNEL ENHANCEMENT MODE MOSFET</t>
  </si>
  <si>
    <t>Yes</t>
  </si>
  <si>
    <t>Standard</t>
  </si>
  <si>
    <t>N</t>
  </si>
  <si>
    <t>No</t>
  </si>
  <si>
    <t>22 @ 25V</t>
  </si>
  <si>
    <t>SOT23 (Standard)</t>
  </si>
  <si>
    <t>23 @ 25V</t>
  </si>
  <si>
    <t>SOT23</t>
  </si>
  <si>
    <t>Automotive</t>
  </si>
  <si>
    <t>DUAL N-CHANNEL ENHANCEMENT MODE MOSFET</t>
  </si>
  <si>
    <t>N+N</t>
  </si>
  <si>
    <t>7500 @5V</t>
  </si>
  <si>
    <t>SOT363</t>
  </si>
  <si>
    <t>60V DUAL N-CHANNEL ENHANCEMENT MODE MOSFET</t>
  </si>
  <si>
    <t>30 @ 25V</t>
  </si>
  <si>
    <t>N-CHANNEL ENHANCEMENT MODE FIELD EFFECT TRANSISTOR</t>
  </si>
  <si>
    <t>SOT523</t>
  </si>
  <si>
    <t>50 max @ 25V</t>
  </si>
  <si>
    <t>SOT563</t>
  </si>
  <si>
    <t>SOT323 (Standard)</t>
  </si>
  <si>
    <t>200V N-CHANNEL ENHANCEMENT MODE VERTICAL DMOSFET</t>
  </si>
  <si>
    <t>85 max @ 25V</t>
  </si>
  <si>
    <t>E-Line</t>
  </si>
  <si>
    <t>60 @ 10V</t>
  </si>
  <si>
    <t>60V N-CHANNEL ENHANCEMENT MODE VERTICAL DMOSFET</t>
  </si>
  <si>
    <t>TO92</t>
  </si>
  <si>
    <t>P-CHANNEL ENHANCEMENT MODE MOSFET</t>
  </si>
  <si>
    <t>P</t>
  </si>
  <si>
    <t>25 @ -10V</t>
  </si>
  <si>
    <t>P-CHANNEL ENHANCEMENT MODE VERTICAL DMOS FET</t>
  </si>
  <si>
    <t>60 @ -10V</t>
  </si>
  <si>
    <t>22 @ 10V</t>
  </si>
  <si>
    <t>21.8 @ 10V</t>
  </si>
  <si>
    <t>20 max @ 25V</t>
  </si>
  <si>
    <t>29 @ 25V</t>
  </si>
  <si>
    <t>SOT323</t>
  </si>
  <si>
    <t>21.8 @ 25V</t>
  </si>
  <si>
    <t>N-CHANNEL ENHANCEMENT MODE FIELD MOSFET</t>
  </si>
  <si>
    <t>SC59</t>
  </si>
  <si>
    <t>50 @ 10V</t>
  </si>
  <si>
    <t>50 @ 10V (max)</t>
  </si>
  <si>
    <t>SOT363 (Standard)</t>
  </si>
  <si>
    <t>50V N-CHANNEL ENHANCEMENT MODE MOSFET</t>
  </si>
  <si>
    <t>COMPLEMENTARY PAIR ENHANCEMENT MODE MOSFET</t>
  </si>
  <si>
    <t>N+P</t>
  </si>
  <si>
    <t>60, 50</t>
  </si>
  <si>
    <t>20, 20</t>
  </si>
  <si>
    <t>0.115, 0.13</t>
  </si>
  <si>
    <t>7500, 10000</t>
  </si>
  <si>
    <t>2.5, 2</t>
  </si>
  <si>
    <t>50, 45</t>
  </si>
  <si>
    <t>25, 20</t>
  </si>
  <si>
    <t>Dual P-CHANNEL ENHANCEMENT MODE MOSFET</t>
  </si>
  <si>
    <t>P+P</t>
  </si>
  <si>
    <t>45 max</t>
  </si>
  <si>
    <t>DUAL P-CHANNEL ENHANCEMENT MODE MOSFET</t>
  </si>
  <si>
    <t>10000 (@5V)</t>
  </si>
  <si>
    <t>50V P-CHANNEL ENHANCEMENT MODE FIELD EFFECT TRANSISTOR</t>
  </si>
  <si>
    <t>12, 20</t>
  </si>
  <si>
    <t>8, 8</t>
  </si>
  <si>
    <t>9.5, 6.8</t>
  </si>
  <si>
    <t>17, 35</t>
  </si>
  <si>
    <t>25, 55</t>
  </si>
  <si>
    <t>0.6, 0.6</t>
  </si>
  <si>
    <t>1.5, 1.5</t>
  </si>
  <si>
    <t>15.6, 15.4</t>
  </si>
  <si>
    <t>1495, 1745</t>
  </si>
  <si>
    <t>6, 10</t>
  </si>
  <si>
    <t>PowerDI5060-8 (Type C)</t>
  </si>
  <si>
    <t>No, Yes</t>
  </si>
  <si>
    <t>9.5, 8.7</t>
  </si>
  <si>
    <t>17, 20</t>
  </si>
  <si>
    <t>25, 25</t>
  </si>
  <si>
    <t>, 40</t>
  </si>
  <si>
    <t>0.6, 0.35</t>
  </si>
  <si>
    <t>1.5, 1</t>
  </si>
  <si>
    <t>18, 32</t>
  </si>
  <si>
    <t>1454, 3103</t>
  </si>
  <si>
    <t>6, 15</t>
  </si>
  <si>
    <t>8, 12</t>
  </si>
  <si>
    <t>9.5, 6.9</t>
  </si>
  <si>
    <t>17, 32</t>
  </si>
  <si>
    <t>25, 53</t>
  </si>
  <si>
    <t>17.1, 8.6</t>
  </si>
  <si>
    <t>30.4, 19 (@8V)</t>
  </si>
  <si>
    <t>1525, 866</t>
  </si>
  <si>
    <t>6, 6</t>
  </si>
  <si>
    <t>10, 6.7</t>
  </si>
  <si>
    <t>31.3, 20.9</t>
  </si>
  <si>
    <t>17, 38</t>
  </si>
  <si>
    <t>PowerDI5060-8/SWP (Type UXD)</t>
  </si>
  <si>
    <t>6, 3.4</t>
  </si>
  <si>
    <t>25, 80</t>
  </si>
  <si>
    <t>32, 100</t>
  </si>
  <si>
    <t>40, 140</t>
  </si>
  <si>
    <t>0.4, 0.4</t>
  </si>
  <si>
    <t>1, 1</t>
  </si>
  <si>
    <t>10.5, 6.7</t>
  </si>
  <si>
    <t>18.5, 11.5 (@8V)</t>
  </si>
  <si>
    <t>787, 576</t>
  </si>
  <si>
    <t>U-DFN2020-6 (Type B)</t>
  </si>
  <si>
    <t>6.1, 3.5</t>
  </si>
  <si>
    <t>0.4, 0.45</t>
  </si>
  <si>
    <t>TSOT26</t>
  </si>
  <si>
    <t>12, 12</t>
  </si>
  <si>
    <t>5.6, 3.8</t>
  </si>
  <si>
    <t>29, 61</t>
  </si>
  <si>
    <t>34, 81</t>
  </si>
  <si>
    <t>44, 115</t>
  </si>
  <si>
    <t>10.5, 10.7</t>
  </si>
  <si>
    <t>19.6, 17.9 (@8V)</t>
  </si>
  <si>
    <t>914, 915</t>
  </si>
  <si>
    <t>5.1, 3.9</t>
  </si>
  <si>
    <t>34, 59</t>
  </si>
  <si>
    <t>40, 81</t>
  </si>
  <si>
    <t>50, 115</t>
  </si>
  <si>
    <t>12.2, 13</t>
  </si>
  <si>
    <t>23.1, 20.8 (@8V)</t>
  </si>
  <si>
    <t>1003, 1028</t>
  </si>
  <si>
    <t>100,100</t>
  </si>
  <si>
    <t>20,20</t>
  </si>
  <si>
    <t>2,1.7</t>
  </si>
  <si>
    <t>160,250</t>
  </si>
  <si>
    <t>200,300</t>
  </si>
  <si>
    <t>1,1</t>
  </si>
  <si>
    <t>3,3</t>
  </si>
  <si>
    <t>19.6,18</t>
  </si>
  <si>
    <t>9.6,9</t>
  </si>
  <si>
    <t>1145,1030</t>
  </si>
  <si>
    <t>50,50</t>
  </si>
  <si>
    <t>SO-8</t>
  </si>
  <si>
    <t>100, 100</t>
  </si>
  <si>
    <t>1.7, 1.7</t>
  </si>
  <si>
    <t>220, 250</t>
  </si>
  <si>
    <t>260, 300</t>
  </si>
  <si>
    <t>3, 3</t>
  </si>
  <si>
    <t>4.1, 8.4</t>
  </si>
  <si>
    <t>8.3,17.5</t>
  </si>
  <si>
    <t>3,401,030</t>
  </si>
  <si>
    <t>6,6</t>
  </si>
  <si>
    <t>0.54, 0.43</t>
  </si>
  <si>
    <t>550, 900</t>
  </si>
  <si>
    <t>700, 1400</t>
  </si>
  <si>
    <t>900, 2000</t>
  </si>
  <si>
    <t>0.5, 0.5</t>
  </si>
  <si>
    <t>95, 85</t>
  </si>
  <si>
    <t>16, 16</t>
  </si>
  <si>
    <t>0.75, 0.6</t>
  </si>
  <si>
    <t>X1-DFN1612-6</t>
  </si>
  <si>
    <t>10, 10</t>
  </si>
  <si>
    <t>8.5, 6.8</t>
  </si>
  <si>
    <t>20, 33</t>
  </si>
  <si>
    <t>28, 45</t>
  </si>
  <si>
    <t>0.5, 0.4</t>
  </si>
  <si>
    <t>11.6, 15.4</t>
  </si>
  <si>
    <t>1149, 1610</t>
  </si>
  <si>
    <t>10, 8</t>
  </si>
  <si>
    <t>6, 3.5</t>
  </si>
  <si>
    <t>25, 75</t>
  </si>
  <si>
    <t>35, 140</t>
  </si>
  <si>
    <t>1, 1.4</t>
  </si>
  <si>
    <t>5.9, 8.8</t>
  </si>
  <si>
    <t>12.3, 15 (@8V )</t>
  </si>
  <si>
    <t>486, 642</t>
  </si>
  <si>
    <t>0.5, 0.35</t>
  </si>
  <si>
    <t>12.3, 15 (@8V)</t>
  </si>
  <si>
    <t>4.7, 3.2</t>
  </si>
  <si>
    <t>40, 90</t>
  </si>
  <si>
    <t>65, 137</t>
  </si>
  <si>
    <t>0.35, 0.35</t>
  </si>
  <si>
    <t>1.4, 1.4</t>
  </si>
  <si>
    <t>8, 11</t>
  </si>
  <si>
    <t>15, 18 (@8V)</t>
  </si>
  <si>
    <t>713, 881</t>
  </si>
  <si>
    <t>4.6, 3.1</t>
  </si>
  <si>
    <t>35, 75</t>
  </si>
  <si>
    <t>43, 110</t>
  </si>
  <si>
    <t>56, 168</t>
  </si>
  <si>
    <t>0.4, 0.5</t>
  </si>
  <si>
    <t>3.6,5.9</t>
  </si>
  <si>
    <t>369, 440</t>
  </si>
  <si>
    <t>3.6, 5.9</t>
  </si>
  <si>
    <t>4.6, 3.2</t>
  </si>
  <si>
    <t>35,74</t>
  </si>
  <si>
    <t>35, 74</t>
  </si>
  <si>
    <t>12, 8</t>
  </si>
  <si>
    <t>4, 3.3</t>
  </si>
  <si>
    <t>42,70</t>
  </si>
  <si>
    <t>60, 100</t>
  </si>
  <si>
    <t>91, 160</t>
  </si>
  <si>
    <t>1.2, 1</t>
  </si>
  <si>
    <t>4.7, 6.5</t>
  </si>
  <si>
    <t>10.5,</t>
  </si>
  <si>
    <t>416, 536</t>
  </si>
  <si>
    <t>0.455, 0.328</t>
  </si>
  <si>
    <t>990, 1900</t>
  </si>
  <si>
    <t>1200, 2400</t>
  </si>
  <si>
    <t>1800, 3400</t>
  </si>
  <si>
    <t>0.41, 0.4</t>
  </si>
  <si>
    <t>31, 28.5</t>
  </si>
  <si>
    <t>X2-DFN0806-6</t>
  </si>
  <si>
    <t>1.03, 0.7</t>
  </si>
  <si>
    <t>500, 1000</t>
  </si>
  <si>
    <t>700, 1500</t>
  </si>
  <si>
    <t>0.9, 1</t>
  </si>
  <si>
    <t>37, 46</t>
  </si>
  <si>
    <t>Complementary Pair Enhancement Mode MOSFET</t>
  </si>
  <si>
    <t>1, 0.7</t>
  </si>
  <si>
    <t>800, 2000</t>
  </si>
  <si>
    <t>0.9, 1.0</t>
  </si>
  <si>
    <t>37.1, 46.1</t>
  </si>
  <si>
    <t>25, 30</t>
  </si>
  <si>
    <t>0.4, 2.6</t>
  </si>
  <si>
    <t>4000, 125</t>
  </si>
  <si>
    <t>, 300</t>
  </si>
  <si>
    <t>0.65, 0.5</t>
  </si>
  <si>
    <t>0.4, 10</t>
  </si>
  <si>
    <t>0.7 (@8V), 21 (@-10V)</t>
  </si>
  <si>
    <t>26.2, 854</t>
  </si>
  <si>
    <t>10, 15</t>
  </si>
  <si>
    <t>25, 12</t>
  </si>
  <si>
    <t>0.5, 3.9</t>
  </si>
  <si>
    <t>4000, 55</t>
  </si>
  <si>
    <t>, 70</t>
  </si>
  <si>
    <t>, 100</t>
  </si>
  <si>
    <t>0.65, 0.35</t>
  </si>
  <si>
    <t>0.4, 24.5</t>
  </si>
  <si>
    <t>0.9,</t>
  </si>
  <si>
    <t>27.6, 9.7</t>
  </si>
  <si>
    <t>10, 6</t>
  </si>
  <si>
    <t>1.34, 1.14</t>
  </si>
  <si>
    <t>400, 700</t>
  </si>
  <si>
    <t>500, 900</t>
  </si>
  <si>
    <t>700, 1300</t>
  </si>
  <si>
    <t>0.74, 0.62</t>
  </si>
  <si>
    <t>60.67, 59.76</t>
  </si>
  <si>
    <t>SOT26</t>
  </si>
  <si>
    <t>450, 750</t>
  </si>
  <si>
    <t>600, 1050</t>
  </si>
  <si>
    <t>750, 1500</t>
  </si>
  <si>
    <t>0.6, 0.7</t>
  </si>
  <si>
    <t>42, 49</t>
  </si>
  <si>
    <t>42,  49</t>
  </si>
  <si>
    <t>1.1, 0.8</t>
  </si>
  <si>
    <t>20V COMPLEMENTARY PAIR ENHANCEMENT MODE MOSFET</t>
  </si>
  <si>
    <t>1.2, 0.9</t>
  </si>
  <si>
    <t>0.45, 0.31</t>
  </si>
  <si>
    <t>27.6, 28.7</t>
  </si>
  <si>
    <t>15, 15</t>
  </si>
  <si>
    <t>SOT963</t>
  </si>
  <si>
    <t>0.48, 0.35</t>
  </si>
  <si>
    <t>1.0, 1.0</t>
  </si>
  <si>
    <t>0.35, 0.3</t>
  </si>
  <si>
    <t>21.5, 17</t>
  </si>
  <si>
    <t>16, 15</t>
  </si>
  <si>
    <t>0.5, 0.36</t>
  </si>
  <si>
    <t>15, 16</t>
  </si>
  <si>
    <t>0.28, 0.3</t>
  </si>
  <si>
    <t>14.6, 17</t>
  </si>
  <si>
    <t>X2-DFN1010-6 (Type UXC)</t>
  </si>
  <si>
    <t>30, 30</t>
  </si>
  <si>
    <t>21, 15</t>
  </si>
  <si>
    <t>12, 25</t>
  </si>
  <si>
    <t>2, 2.4</t>
  </si>
  <si>
    <t>9.5, 9.5</t>
  </si>
  <si>
    <t>21, 19.7</t>
  </si>
  <si>
    <t>1184, 1188</t>
  </si>
  <si>
    <t>PowerDI3333-8 (Type UXC)</t>
  </si>
  <si>
    <t>9, 6.8</t>
  </si>
  <si>
    <t>16, 28</t>
  </si>
  <si>
    <t>20, 38</t>
  </si>
  <si>
    <t>PowerDI3333-8 (Type UXB)</t>
  </si>
  <si>
    <t>8.2, 6.2</t>
  </si>
  <si>
    <t>11.3, 10.9</t>
  </si>
  <si>
    <t>25.1, 22</t>
  </si>
  <si>
    <t>1415, 1241</t>
  </si>
  <si>
    <t>20, 17</t>
  </si>
  <si>
    <t>31, 42</t>
  </si>
  <si>
    <t>40, 75</t>
  </si>
  <si>
    <t>0.4, 1</t>
  </si>
  <si>
    <t>1.85, 2.1</t>
  </si>
  <si>
    <t>4.6, 6.6</t>
  </si>
  <si>
    <t>8.8, 13.6</t>
  </si>
  <si>
    <t xml:space="preserve">383, 782 </t>
  </si>
  <si>
    <t>PowerDI3333-8/SWP (Type UXD)</t>
  </si>
  <si>
    <t>8.5, 7</t>
  </si>
  <si>
    <t>21, 39</t>
  </si>
  <si>
    <t>32, 53</t>
  </si>
  <si>
    <t>2.1, 2.2</t>
  </si>
  <si>
    <t>7.8, 10.1</t>
  </si>
  <si>
    <t>16.1, 21.1</t>
  </si>
  <si>
    <t>767, 1002</t>
  </si>
  <si>
    <t>35, 38</t>
  </si>
  <si>
    <t>4.6, 9.5</t>
  </si>
  <si>
    <t>9.8, 19.7</t>
  </si>
  <si>
    <t>500, 1188</t>
  </si>
  <si>
    <t>7.2, 6.8</t>
  </si>
  <si>
    <t>25, 28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</si>
  <si>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</si>
  <si>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</si>
  <si>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</si>
  <si>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</si>
  <si>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</si>
  <si>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</si>
  <si>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</si>
  <si>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</si>
  <si>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</si>
  <si>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6.5, 6.2</t>
  </si>
  <si>
    <t>29, 38</t>
  </si>
  <si>
    <t>6, 10.9</t>
  </si>
  <si>
    <t>7.1, 7.4</t>
  </si>
  <si>
    <t>28, 25</t>
  </si>
  <si>
    <t>45, 41</t>
  </si>
  <si>
    <t>5.2, 16.4</t>
  </si>
  <si>
    <t>10.5, 31.6</t>
  </si>
  <si>
    <t>472, 1678</t>
  </si>
  <si>
    <t>7.2, 7.6</t>
  </si>
  <si>
    <t>27, 25</t>
  </si>
  <si>
    <t>35, 41</t>
  </si>
  <si>
    <t>13.2, 22</t>
  </si>
  <si>
    <t>641, 1241</t>
  </si>
  <si>
    <t>30V COMPLEMENTARY PAIR ENHANCEMENT MODE MOSFET</t>
  </si>
  <si>
    <t>5.3, 3.4</t>
  </si>
  <si>
    <t>30, 70</t>
  </si>
  <si>
    <t>42, 100</t>
  </si>
  <si>
    <t>2.0, 2.1</t>
  </si>
  <si>
    <t>5.0, 4.0</t>
  </si>
  <si>
    <t>10.6, 7.8</t>
  </si>
  <si>
    <t>500, 336</t>
  </si>
  <si>
    <t>15, 25</t>
  </si>
  <si>
    <t>8.1, 7</t>
  </si>
  <si>
    <t>32, 39</t>
  </si>
  <si>
    <t>46, 53</t>
  </si>
  <si>
    <t>, 10.1</t>
  </si>
  <si>
    <t>9.2, 21.1</t>
  </si>
  <si>
    <t>404.5, 1002</t>
  </si>
  <si>
    <t>3.6, 2.8</t>
  </si>
  <si>
    <t>60, 95</t>
  </si>
  <si>
    <t>100 ,140</t>
  </si>
  <si>
    <t>1.8, 2.1</t>
  </si>
  <si>
    <t>5.6, 4.4</t>
  </si>
  <si>
    <t>11.3, 8.6</t>
  </si>
  <si>
    <t>395, 324</t>
  </si>
  <si>
    <t>100, 140</t>
  </si>
  <si>
    <t>3.4, 2.7</t>
  </si>
  <si>
    <t>1.8, 2.2</t>
  </si>
  <si>
    <t>3.5, 3.5</t>
  </si>
  <si>
    <t>6.6, 6.8</t>
  </si>
  <si>
    <t>278, 287</t>
  </si>
  <si>
    <t>4.6, 3.3</t>
  </si>
  <si>
    <t>50, 95</t>
  </si>
  <si>
    <t>90, 140</t>
  </si>
  <si>
    <t>2.5, 2.5</t>
  </si>
  <si>
    <t>2.1, 3.1</t>
  </si>
  <si>
    <t>4.5, 6.5</t>
  </si>
  <si>
    <t>190, 254</t>
  </si>
  <si>
    <t>0.4, 0.22</t>
  </si>
  <si>
    <t>1500 ,5000</t>
  </si>
  <si>
    <t>2000 ,6000</t>
  </si>
  <si>
    <t>3000, 7000</t>
  </si>
  <si>
    <t>0.38, 0.35</t>
  </si>
  <si>
    <t>22.6, 21.8</t>
  </si>
  <si>
    <t>12 ,12</t>
  </si>
  <si>
    <t>1.0,  1.0</t>
  </si>
  <si>
    <t>15 15</t>
  </si>
  <si>
    <t>0.22, 0.2</t>
  </si>
  <si>
    <t>1500, 5000</t>
  </si>
  <si>
    <t>0.9, 0.6</t>
  </si>
  <si>
    <t>400, 900</t>
  </si>
  <si>
    <t>700, 1700</t>
  </si>
  <si>
    <t>0.8, 1</t>
  </si>
  <si>
    <t>1.6, 2.6</t>
  </si>
  <si>
    <t>1.1, 0.36</t>
  </si>
  <si>
    <t>38.4, 19</t>
  </si>
  <si>
    <t>0.65, 0.45</t>
  </si>
  <si>
    <t>1.4, 1.3</t>
  </si>
  <si>
    <t>54, 55</t>
  </si>
  <si>
    <t>0.8, 0.55</t>
  </si>
  <si>
    <t>1.2, 0.8</t>
  </si>
  <si>
    <t>50, 19</t>
  </si>
  <si>
    <t>1.1, 0.7</t>
  </si>
  <si>
    <t>460, 1000</t>
  </si>
  <si>
    <t>560, 1500</t>
  </si>
  <si>
    <t>730, 2000</t>
  </si>
  <si>
    <t>0.95, 1.1</t>
  </si>
  <si>
    <t>0.9, 0.9</t>
  </si>
  <si>
    <t>65.9, 83</t>
  </si>
  <si>
    <t>X2-DFN1310-6 (Type B)</t>
  </si>
  <si>
    <t>0.68, 0.46</t>
  </si>
  <si>
    <t>450, 1100</t>
  </si>
  <si>
    <t>600, 1500</t>
  </si>
  <si>
    <t>730, 2200</t>
  </si>
  <si>
    <t>0.45, 0.5</t>
  </si>
  <si>
    <t>1.1, 1.1</t>
  </si>
  <si>
    <t>1.64, 1.1</t>
  </si>
  <si>
    <t>50, 63</t>
  </si>
  <si>
    <t>40.8, 50</t>
  </si>
  <si>
    <t>25, 15</t>
  </si>
  <si>
    <t>40, 40</t>
  </si>
  <si>
    <t>12.2, 8.8</t>
  </si>
  <si>
    <t>15, 29</t>
  </si>
  <si>
    <t>19, 17</t>
  </si>
  <si>
    <t>40, 34</t>
  </si>
  <si>
    <t>1810, 1626</t>
  </si>
  <si>
    <t>7.2, 5.2</t>
  </si>
  <si>
    <t>28, 50</t>
  </si>
  <si>
    <t>49, 79</t>
  </si>
  <si>
    <t>6.5, 7</t>
  </si>
  <si>
    <t>12.9, 14</t>
  </si>
  <si>
    <t>604, 674</t>
  </si>
  <si>
    <t>8.3, 6.1</t>
  </si>
  <si>
    <t>24, 45</t>
  </si>
  <si>
    <t>32, 55</t>
  </si>
  <si>
    <t>8.8, 10.6</t>
  </si>
  <si>
    <t>19.1, 21.5</t>
  </si>
  <si>
    <t>1060, 1154</t>
  </si>
  <si>
    <t>TO252-4</t>
  </si>
  <si>
    <t>9, 6.5</t>
  </si>
  <si>
    <t>7.5, 7.3</t>
  </si>
  <si>
    <t>40, 45</t>
  </si>
  <si>
    <t>1.8, 1.8</t>
  </si>
  <si>
    <t>16, 14</t>
  </si>
  <si>
    <t>37.6, 33.7</t>
  </si>
  <si>
    <t>1790, 1643</t>
  </si>
  <si>
    <t>6.9, 5.1</t>
  </si>
  <si>
    <t>2.4, 2.2</t>
  </si>
  <si>
    <t>40V COMPLEMENTARY PAIR ENHANCEMENT MODE MOSFET</t>
  </si>
  <si>
    <t>5.8, 5.8</t>
  </si>
  <si>
    <t>45, 45</t>
  </si>
  <si>
    <t>60, 60</t>
  </si>
  <si>
    <t>60,60</t>
  </si>
  <si>
    <t>6,5</t>
  </si>
  <si>
    <t>34(6V),70</t>
  </si>
  <si>
    <t>14,14.5</t>
  </si>
  <si>
    <t>32.30.6</t>
  </si>
  <si>
    <t>2110,1525</t>
  </si>
  <si>
    <t>30,30</t>
  </si>
  <si>
    <t>6.5, 3.9</t>
  </si>
  <si>
    <t>40, 110</t>
  </si>
  <si>
    <t>55, 130</t>
  </si>
  <si>
    <t>9.4, 9.5</t>
  </si>
  <si>
    <t>20.8, 19.4</t>
  </si>
  <si>
    <t>1130, 1030</t>
  </si>
  <si>
    <t>60V COMPLEMENTARY PAIR ENHANCEMENT MODE MOSFET</t>
  </si>
  <si>
    <t>3.1, 2.4</t>
  </si>
  <si>
    <t>85, 150</t>
  </si>
  <si>
    <t>120, 250</t>
  </si>
  <si>
    <t>5.2, 4.3</t>
  </si>
  <si>
    <t>11.5, 8.9</t>
  </si>
  <si>
    <t>731, 612</t>
  </si>
  <si>
    <t>0.3, 0.2</t>
  </si>
  <si>
    <t>1700, 1700</t>
  </si>
  <si>
    <t>3000, 3000</t>
  </si>
  <si>
    <t>30, 26</t>
  </si>
  <si>
    <t>0.48,0.32</t>
  </si>
  <si>
    <t>1700, 4000</t>
  </si>
  <si>
    <t>3000, 6000</t>
  </si>
  <si>
    <t>2.5,3</t>
  </si>
  <si>
    <t>0.51,0.5</t>
  </si>
  <si>
    <t>1.04,1.1</t>
  </si>
  <si>
    <t>41,40</t>
  </si>
  <si>
    <t>30,25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</si>
  <si>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</si>
  <si>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</si>
  <si>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</si>
  <si>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</si>
  <si>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</si>
  <si>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</si>
  <si>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</si>
  <si>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</si>
  <si>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</si>
  <si>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N-Channel Mosfet</t>
  </si>
  <si>
    <t>20V P-CHANNEL ENHANCEMENT MODE MOSFET</t>
  </si>
  <si>
    <t>1.07, 0.85</t>
  </si>
  <si>
    <t>10, 16</t>
  </si>
  <si>
    <t>0.87, 0.64</t>
  </si>
  <si>
    <t>2.5, 3</t>
  </si>
  <si>
    <t>0.3, 0.28</t>
  </si>
  <si>
    <t>30V P-CHANNEL ENHANCEMENT MODE MOSFET</t>
  </si>
  <si>
    <t>30V N-CHANNEL ENHANCEMENT MODE MOSFET</t>
  </si>
  <si>
    <t>X2-DFN2015-3</t>
  </si>
  <si>
    <t>U-DFN3030-8</t>
  </si>
  <si>
    <t>TO252 (DPAK)</t>
  </si>
  <si>
    <t>35, 35</t>
  </si>
  <si>
    <t>13, 12</t>
  </si>
  <si>
    <t>35, 45</t>
  </si>
  <si>
    <t>65, 65</t>
  </si>
  <si>
    <t>8.8, 9.5</t>
  </si>
  <si>
    <t>18.7, 19.2</t>
  </si>
  <si>
    <t>850, 985</t>
  </si>
  <si>
    <t>9.47 (@5V)</t>
  </si>
  <si>
    <t>8.7 (@5V)</t>
  </si>
  <si>
    <t>8.56 (@5V)</t>
  </si>
  <si>
    <t>W-DFN5020-6</t>
  </si>
  <si>
    <t>13000 (@2.7V)</t>
  </si>
  <si>
    <t>3.8, 2.5</t>
  </si>
  <si>
    <t>55, 110</t>
  </si>
  <si>
    <t>65, 142</t>
  </si>
  <si>
    <t>85, 190</t>
  </si>
  <si>
    <t>1.5, 1.2</t>
  </si>
  <si>
    <t>5.4, 6.5</t>
  </si>
  <si>
    <t>12.3, 13.8</t>
  </si>
  <si>
    <t>422, 541</t>
  </si>
  <si>
    <t>TSSOP-8</t>
  </si>
  <si>
    <t>PowerDI3333-8</t>
  </si>
  <si>
    <t>14.4 (@5V)</t>
  </si>
  <si>
    <t>100V COMPLEMENTARY ENHANCEMENT MODE MOSFET H-BRIDGE</t>
  </si>
  <si>
    <t>2N2P</t>
  </si>
  <si>
    <t>2.3, 2.9</t>
  </si>
  <si>
    <t>250, 160</t>
  </si>
  <si>
    <t>300, 200</t>
  </si>
  <si>
    <t>17.5, 9.7</t>
  </si>
  <si>
    <t>1239, 1167</t>
  </si>
  <si>
    <t>V-DFN5045-12</t>
  </si>
  <si>
    <t>30V COMPLEMENTARY ENHANCEMENT MODE MOSFET H-BRIDGE</t>
  </si>
  <si>
    <t>6, 4.2</t>
  </si>
  <si>
    <t>25, 50</t>
  </si>
  <si>
    <t>40, 80</t>
  </si>
  <si>
    <t>11.7, 11.4</t>
  </si>
  <si>
    <t>590, 631</t>
  </si>
  <si>
    <t>40V COMPLEMENTARY ENHANCEMENT MODE MOSFET H-BRIDGE</t>
  </si>
  <si>
    <t>4.5, 3.7</t>
  </si>
  <si>
    <t>45, 65</t>
  </si>
  <si>
    <t>58, 100</t>
  </si>
  <si>
    <t>12.5, 11.1</t>
  </si>
  <si>
    <t>574, 587</t>
  </si>
  <si>
    <t>60V COMPLEMENTARY ENHANCEMENT MODE MOSFET H-BRIDGE</t>
  </si>
  <si>
    <t>100, 170</t>
  </si>
  <si>
    <t>731, 618</t>
  </si>
  <si>
    <t>100V N-CHANNEL ENHANCEMENT MODE MOSFET</t>
  </si>
  <si>
    <t>30V N-CHANNEL ENHANCEMENT MODE MOSFET H-BRIDGE</t>
  </si>
  <si>
    <t>4N</t>
  </si>
  <si>
    <t>V-DFN5045-12 (Type C)</t>
  </si>
  <si>
    <t>60V N-CHANNEL ENHANCEMENT MODE MOSFET H-BRIDGE</t>
  </si>
  <si>
    <t>V-DFN5045-12 (Type B)</t>
  </si>
  <si>
    <t>12V N-CHANNEL ENHANCEMENT MODE MOSFET</t>
  </si>
  <si>
    <t>29 (@4V)</t>
  </si>
  <si>
    <t>X2-TSN1820-10</t>
  </si>
  <si>
    <t>45.7 (@4V)</t>
  </si>
  <si>
    <t>X4-DSN3118-6</t>
  </si>
  <si>
    <t>X3-DSN3518-6</t>
  </si>
  <si>
    <t>12V N-Channel Enhancement Mode MOSFET</t>
  </si>
  <si>
    <t>U-DFN2020-6 (Type E)</t>
  </si>
  <si>
    <t>U-DFN2020-6 (Type F)</t>
  </si>
  <si>
    <t>47 (@8V)</t>
  </si>
  <si>
    <t>PowerDI3333-8 (Type UX)</t>
  </si>
  <si>
    <t>X3-DSN2718-6</t>
  </si>
  <si>
    <t>23.4 (@8V)</t>
  </si>
  <si>
    <t>10.5 (@3.3V)</t>
  </si>
  <si>
    <t>X3-DSN1010-3</t>
  </si>
  <si>
    <t>50.6 (@8V)</t>
  </si>
  <si>
    <t>50.4 (@8V)</t>
  </si>
  <si>
    <t>X2-TSN0808-4</t>
  </si>
  <si>
    <t>23.1 (@8V)</t>
  </si>
  <si>
    <t>19.6 (@8V)</t>
  </si>
  <si>
    <t>X1-DSN1010-4 (Type B)</t>
  </si>
  <si>
    <t>X2-DFN1010-3</t>
  </si>
  <si>
    <t>X3-DSN0808-4</t>
  </si>
  <si>
    <t>X1-WLB0808-4</t>
  </si>
  <si>
    <t>99 (@6V)</t>
  </si>
  <si>
    <t>122 (@6V)</t>
  </si>
  <si>
    <t>SOT223</t>
  </si>
  <si>
    <t>870.7 @ 25V</t>
  </si>
  <si>
    <t>100V DUAL N-CHANNEL ENHANCEMENT MODE MOSFET</t>
  </si>
  <si>
    <t>PowerDI3333-8 (SWP)</t>
  </si>
  <si>
    <t>PowerDI5060-8 (SWP) (Type R)</t>
  </si>
  <si>
    <t>900 (@6V)</t>
  </si>
  <si>
    <t>X1-DFN1006-3</t>
  </si>
  <si>
    <t>8N</t>
  </si>
  <si>
    <t>U-QFN1515-12</t>
  </si>
  <si>
    <t>X2-DFN0806-3</t>
  </si>
  <si>
    <t>14V N-CHANNEL ENHANCEMENT MODE MOSFET</t>
  </si>
  <si>
    <t>35.7 (@4V)</t>
  </si>
  <si>
    <t>X4-DSN3015-10</t>
  </si>
  <si>
    <t>4(@4V)</t>
  </si>
  <si>
    <t>850 (@6V)</t>
  </si>
  <si>
    <t>X3-DSN3518-6 (Type B)</t>
  </si>
  <si>
    <t>330 (@5V)</t>
  </si>
  <si>
    <t>4.6 (@5V)</t>
  </si>
  <si>
    <t>150V N-CHANNEL ENHANCEMENT MODE MOSFET</t>
  </si>
  <si>
    <t>N-Channel Enhancement Mode MOSFET</t>
  </si>
  <si>
    <t>6 (@ 3.3V)</t>
  </si>
  <si>
    <t>21.7 (@ 4V)</t>
  </si>
  <si>
    <t>X4-DSN1815-4</t>
  </si>
  <si>
    <t>X4-DSN2117-6</t>
  </si>
  <si>
    <t>X4-DSN2112-6</t>
  </si>
  <si>
    <t>X4-DSN2718-6</t>
  </si>
  <si>
    <t>X3-DSN2718-6 (Type B)</t>
  </si>
  <si>
    <t>.95 (@8V)</t>
  </si>
  <si>
    <t>X2-DFN1310-6</t>
  </si>
  <si>
    <t>X2-DFN1006-3</t>
  </si>
  <si>
    <t>20V N-CHANNEL ENHANCEMENT MODE MOSFET</t>
  </si>
  <si>
    <t>PowerDI5060-8</t>
  </si>
  <si>
    <t>U-DFN2030-6 (Type B)</t>
  </si>
  <si>
    <t>X4-DSN1717-4</t>
  </si>
  <si>
    <t>X4-DSN1818-6</t>
  </si>
  <si>
    <t>V-DFN2050-4</t>
  </si>
  <si>
    <t>25.8 (@8V)</t>
  </si>
  <si>
    <t>57.4 (@8V)</t>
  </si>
  <si>
    <t>X1-DFN1616-6 (Type E)</t>
  </si>
  <si>
    <t>18 (@8V)</t>
  </si>
  <si>
    <t>X1-WLB1818-4</t>
  </si>
  <si>
    <t>21 (@ 6.5V)</t>
  </si>
  <si>
    <t>X4-DSN1313-4</t>
  </si>
  <si>
    <t>DUAL 20V N-CHANNEL ENHANCEMENT MODE MOSFET</t>
  </si>
  <si>
    <t>18.4 (@8V)</t>
  </si>
  <si>
    <t>V-DFN3030-8</t>
  </si>
  <si>
    <t>18.6 (@8V)</t>
  </si>
  <si>
    <t>X4-DSN1111-4</t>
  </si>
  <si>
    <t>X2-WLB1616-4</t>
  </si>
  <si>
    <t>15 (@8V)</t>
  </si>
  <si>
    <t>23.2 (@8V)</t>
  </si>
  <si>
    <t>U-WLB1010-4 (Type B)</t>
  </si>
  <si>
    <t>20V N-Channel Enhancement Mode MOSFET</t>
  </si>
  <si>
    <t>75V N-CHANNEL ENHANCEMENT MODE MOSFET</t>
  </si>
  <si>
    <t>X2-WLB0808-4 (Type B)</t>
  </si>
  <si>
    <t>U-DFN1616-6</t>
  </si>
  <si>
    <t>70V N-CHANNEL ENHANCEMENT MODE MOSFET</t>
  </si>
  <si>
    <t>X4-DSN3221-10</t>
  </si>
  <si>
    <t>X1-DFN1212-3</t>
  </si>
  <si>
    <t>20V DUAL N-CHANNEL ENHANCEMENT MODE MOSFET</t>
  </si>
  <si>
    <t>U-DFN1212-3 (Type C)</t>
  </si>
  <si>
    <t>6000 (@3V)</t>
  </si>
  <si>
    <t>Dual N-CHANNEL ENHANCEMENT MODE MOSFET</t>
  </si>
  <si>
    <t>Dual N-Channel Enhancement Mode MOSFET</t>
  </si>
  <si>
    <t>X2-DFN0604-3</t>
  </si>
  <si>
    <t>X2-DFN0606-3</t>
  </si>
  <si>
    <t>X4-DSN3519-6</t>
  </si>
  <si>
    <t>30V N-Channel Enhancement Mode MOSFET</t>
  </si>
  <si>
    <t>X4-DSN3415-10</t>
  </si>
  <si>
    <t>PowerDI3333-8/SWP (Type UX)</t>
  </si>
  <si>
    <t>30V SYNCHRONOUS N-CHANNEL ENHANCEMENT MODE MOSFET</t>
  </si>
  <si>
    <t>12, 6</t>
  </si>
  <si>
    <t>2.1, 1.15</t>
  </si>
  <si>
    <t>4.7, 9.7</t>
  </si>
  <si>
    <t>650/1137</t>
  </si>
  <si>
    <t>PowerDI3333-8 (Type D)</t>
  </si>
  <si>
    <t>30V SYNCHRONOUS N-CHANNEL ENHANCEMENT MODE MOSFET POWERDI</t>
  </si>
  <si>
    <t>650, 1137</t>
  </si>
  <si>
    <t>14.3, 14.3 (@8V)</t>
  </si>
  <si>
    <t>16.1, 16.1</t>
  </si>
  <si>
    <t>1.2, 1.2</t>
  </si>
  <si>
    <t>3.3, 3.4</t>
  </si>
  <si>
    <t>30V DUAL N-CHANNEL ENHANCEMENT MODE MOSFET</t>
  </si>
  <si>
    <t>V-DFN3030-8 (Type J)</t>
  </si>
  <si>
    <t>N-CHANNEL ENHANCEMENT MODE MOSFT</t>
  </si>
  <si>
    <t>27 (@8V)</t>
  </si>
  <si>
    <t>22, 8 (@5V)</t>
  </si>
  <si>
    <t>2.1, 1.2</t>
  </si>
  <si>
    <t>2.8, 6.1</t>
  </si>
  <si>
    <t>370/766</t>
  </si>
  <si>
    <t>U-DFN2020-6 (SWP) (Type B)</t>
  </si>
  <si>
    <t>10.5 (@5V)</t>
  </si>
  <si>
    <t>V-DFN3020-8 (Type N)</t>
  </si>
  <si>
    <t>60 (@8V)</t>
  </si>
  <si>
    <t>X4-DSN1006-3</t>
  </si>
  <si>
    <t>3.6, 3.6</t>
  </si>
  <si>
    <t>5.6, 5.6</t>
  </si>
  <si>
    <t>11.3, 11.3</t>
  </si>
  <si>
    <t>395, 395</t>
  </si>
  <si>
    <t>196 (@3.3V)</t>
  </si>
  <si>
    <t>3.4, 3.4</t>
  </si>
  <si>
    <t>6.6, 6.6</t>
  </si>
  <si>
    <t>278, 278</t>
  </si>
  <si>
    <t>2000 (@4V)</t>
  </si>
  <si>
    <t>DUAL NCHANNEL ENHANCEMENT MODE MOSFET</t>
  </si>
  <si>
    <t>200 (@1.5V)</t>
  </si>
  <si>
    <t>5, 0.5</t>
  </si>
  <si>
    <t>DUAL N-CHANNEL ENHANCEMENT MODE FIELD EFFECT TRANSISTOR</t>
  </si>
  <si>
    <t>COMMON SOURCE DUAL N-CHANNEL ENHANCEMENT MODE FIELD EFFECT TRANSISTOR</t>
  </si>
  <si>
    <t>SOT353</t>
  </si>
  <si>
    <t>X4-DSN6025-8</t>
  </si>
  <si>
    <t>3800 (@5V)</t>
  </si>
  <si>
    <t>5000 (@4V)</t>
  </si>
  <si>
    <t>N-Channel Enhancement Mode Field MOSFET</t>
  </si>
  <si>
    <t>40V N-CHANNEL ENHANCEMENT MODE MOSFET</t>
  </si>
  <si>
    <t>20 (@3.3V)</t>
  </si>
  <si>
    <t>40V DUAL N-CHANNEL ENHANCEMENT MODE MOSFET</t>
  </si>
  <si>
    <t>45V N-CHANNEL ENHANCEMENT MODE MOSFET</t>
  </si>
  <si>
    <t>0.35@5V</t>
  </si>
  <si>
    <t>2000@5V</t>
  </si>
  <si>
    <t>50V N-Channel Enhancement Mode MOSFET</t>
  </si>
  <si>
    <t>0.4@5V</t>
  </si>
  <si>
    <t>0.41 @ 5V</t>
  </si>
  <si>
    <t>2000 @ 5V</t>
  </si>
  <si>
    <t>0.35 (@ 5V)</t>
  </si>
  <si>
    <t>2000 (@ 5V)</t>
  </si>
  <si>
    <t>0.4 @5V</t>
  </si>
  <si>
    <t>0.48@5V</t>
  </si>
  <si>
    <t xml:space="preserve">50V N-CHANNEL ENHANCEMENT MODE MOSFET
</t>
  </si>
  <si>
    <t>0.48 @ 5V</t>
  </si>
  <si>
    <t>0.43 @ 5V</t>
  </si>
  <si>
    <t>0.38 (@ 5V)</t>
  </si>
  <si>
    <t>50V DUAL N-CHANNEL ENHANCEMENT MODE MOSFET</t>
  </si>
  <si>
    <t>3000 (@5V)</t>
  </si>
  <si>
    <t>2000 (@5V)</t>
  </si>
  <si>
    <t>60V N-CHANNEL ENHANCEMENT MODE MOSFET</t>
  </si>
  <si>
    <t>TO263AB (D2PAK)</t>
  </si>
  <si>
    <t>4000 (@4V)</t>
  </si>
  <si>
    <t>3000(@5V)</t>
  </si>
  <si>
    <t>60V N-Channel Enhancement Mode MOSFET</t>
  </si>
  <si>
    <t>3000 (@ 5V)</t>
  </si>
  <si>
    <t>50 max @ 50V</t>
  </si>
  <si>
    <t>1287 @ 25V</t>
  </si>
  <si>
    <t>60V SINGLE N-CHANNEL ENHANCEMENT MODE MOSFET</t>
  </si>
  <si>
    <t>606 @ 20V</t>
  </si>
  <si>
    <t>SOT89</t>
  </si>
  <si>
    <t>4.1 (@5V)</t>
  </si>
  <si>
    <t>315 @ 40V</t>
  </si>
  <si>
    <t>1800 (@5V)</t>
  </si>
  <si>
    <t>2400 (@3V)</t>
  </si>
  <si>
    <t>0.74 (@5V)</t>
  </si>
  <si>
    <t>INTEGRATED RELAY AND INDUCTIVE LOAD DRIVER</t>
  </si>
  <si>
    <t>30.2 @ 25V</t>
  </si>
  <si>
    <t>36 @ 25V</t>
  </si>
  <si>
    <t>40 @ 40V</t>
  </si>
  <si>
    <t>U-DFN1006-3/SWP (Type UX)</t>
  </si>
  <si>
    <t>60V Dual N-Channel Enhancement Mode MOSFET</t>
  </si>
  <si>
    <t xml:space="preserve">60V N-Channel Enhancement Mode MOSFET
</t>
  </si>
  <si>
    <t>3000 @5V</t>
  </si>
  <si>
    <t>X2-DFN1010-4</t>
  </si>
  <si>
    <t>4000 (@5V)</t>
  </si>
  <si>
    <t>8000 (@5V)</t>
  </si>
  <si>
    <t>25 @ 25V</t>
  </si>
  <si>
    <t>4100 (@5V)</t>
  </si>
  <si>
    <t>6000 (@5V)</t>
  </si>
  <si>
    <t>7500 (@5V)</t>
  </si>
  <si>
    <t>7500(5V)</t>
  </si>
  <si>
    <t>TO220AB</t>
  </si>
  <si>
    <t>100V 175°C N-CHANNEL ENHANCEMENT MODE MOSFET</t>
  </si>
  <si>
    <t>100V 175°C N-Channel Enhancement Mode MOSFET</t>
  </si>
  <si>
    <t xml:space="preserve"> 22 (@ 6V)</t>
  </si>
  <si>
    <t>PowerDI5060-8 (SWP) (Type UX)</t>
  </si>
  <si>
    <t>175°C N-CHANNEL ENHANCEMENT MODE MOSFET</t>
  </si>
  <si>
    <t>40V N-CHANNEL 175°C MOSFET</t>
  </si>
  <si>
    <t>40V +175°C N-CHANNEL ENHANCEMENT MODE MOSFET</t>
  </si>
  <si>
    <t>40V N-Channel +175°C MOSFET</t>
  </si>
  <si>
    <t>40V 175°C N-Channel Enhancement Mode MOSFET</t>
  </si>
  <si>
    <t>40V 175°C DUAL N-CHANNEL ENHANCEMENT MODE MOSFET</t>
  </si>
  <si>
    <t>TO220AB (Generic)</t>
  </si>
  <si>
    <t>60V +175°C N-CHANNEL ENHANCEMENT MODE MOSFET</t>
  </si>
  <si>
    <t>60V 175°C N-CHANNEL ENHANCEMENT MODE MOSFET</t>
  </si>
  <si>
    <t>60V +175°C N-Channel Enhancement Mode MOSFET</t>
  </si>
  <si>
    <t>55V 175°C N-CHANNEL ENHANCEMENT MODE MOSFET</t>
  </si>
  <si>
    <t>60V 175°C DUAL N-CHANNEL ENHANCEMENT MODE MOSFET</t>
  </si>
  <si>
    <t>60V +175°C DUAL N-CHANNEL ENHANCEMENT MODE MOSFET</t>
  </si>
  <si>
    <t>60V 175°C Dual N-Channel Enhancement Mode MOSFET</t>
  </si>
  <si>
    <t>60V DUAL N-CHANNEL 175°C MOSFET</t>
  </si>
  <si>
    <t>60V 175°C N-CHANNEL ENHANCEMENT MODE MOSFET PowerDI3333-8</t>
  </si>
  <si>
    <t>U-WLB1515-9</t>
  </si>
  <si>
    <t>X2-DSN1515-9</t>
  </si>
  <si>
    <t>12V P-CHANNEL ENHANCEMENT MODE MOSFET</t>
  </si>
  <si>
    <t>P-Channel Enhancement Mode MOSFET</t>
  </si>
  <si>
    <t>X2-DSN1212-4</t>
  </si>
  <si>
    <t>U-WLB1515-9 (Type B)</t>
  </si>
  <si>
    <t>12V P-Channel Enhancement Mode MOSFET</t>
  </si>
  <si>
    <t>31 (@ 8V)</t>
  </si>
  <si>
    <t>V-DFN3020-8</t>
  </si>
  <si>
    <t>X2-WLB0808-4</t>
  </si>
  <si>
    <t>17.9 (@8V)</t>
  </si>
  <si>
    <t>20.8 (@8V)</t>
  </si>
  <si>
    <t>X4-DSN0607-3</t>
  </si>
  <si>
    <t>100V P-CHANNEL ENHANCEMENT MODE MOSFET</t>
  </si>
  <si>
    <t>1239 max @ 25V</t>
  </si>
  <si>
    <t>5000 (@ 4V)</t>
  </si>
  <si>
    <t>5000 (@ 2V)</t>
  </si>
  <si>
    <t>PowerDI5060-8 (Type K)</t>
  </si>
  <si>
    <t>0.97 (@8V)</t>
  </si>
  <si>
    <t>30(@8V)</t>
  </si>
  <si>
    <t>U-DFN2523-6</t>
  </si>
  <si>
    <t>59 (@8V)</t>
  </si>
  <si>
    <t>29 (@8V)</t>
  </si>
  <si>
    <t>U-DFN1616-6 (Type K)</t>
  </si>
  <si>
    <t>48.7 (@8V)</t>
  </si>
  <si>
    <t>X2-DFN2020-6</t>
  </si>
  <si>
    <t>19 (@8V)</t>
  </si>
  <si>
    <t>20V DUAL P-CHANNEL ENHANCEMENT MODE MOSFET</t>
  </si>
  <si>
    <t>X1-DSN1010-4 (Type C)</t>
  </si>
  <si>
    <t>X2-DSN1010-3</t>
  </si>
  <si>
    <t>DUAL  P-CHANNEL ENHANCEMENT MODE MOSFET</t>
  </si>
  <si>
    <t>U-WLB1010-4</t>
  </si>
  <si>
    <t>8.4 (@ 8V)</t>
  </si>
  <si>
    <t>X4-DSN0808-4</t>
  </si>
  <si>
    <t>15.5 (@8V)</t>
  </si>
  <si>
    <t>28 @ 8V</t>
  </si>
  <si>
    <t>17.8 (@8V)</t>
  </si>
  <si>
    <t>X2-DSN1515-9 (Type B)</t>
  </si>
  <si>
    <t>X1-DFN1411-3</t>
  </si>
  <si>
    <t>0.8 (@8V)</t>
  </si>
  <si>
    <t>U-DFN1616-6 (Type F)</t>
  </si>
  <si>
    <t>DUAL PCHANNEL ENHANCEMENT MODE MOSFET</t>
  </si>
  <si>
    <t>Dual P-Channel Enhancement Mode MOSFET</t>
  </si>
  <si>
    <t>20V P-Channel Enhancement Mode MOSFET</t>
  </si>
  <si>
    <t xml:space="preserve">P </t>
  </si>
  <si>
    <t>PowerDI5060-8 (SWP) (Type Q)</t>
  </si>
  <si>
    <t xml:space="preserve">P-CHANNEL ENHANCEMENT MODE MOSFET </t>
  </si>
  <si>
    <t>18000 (@3.5V)</t>
  </si>
  <si>
    <t>20V P-CHANNEL ENHANCEMENT MODE MOSFET PowerDI3333-8</t>
  </si>
  <si>
    <t>20V P-CHANNEL ENHANCEMENT MODE MOSFET
PowerDI5060-8</t>
  </si>
  <si>
    <t>V-DFN3333-8 (Type B)</t>
  </si>
  <si>
    <t>25 (@ 5V)</t>
  </si>
  <si>
    <t>25 (@5V)</t>
  </si>
  <si>
    <t>DUAL P-CHANNEL ENHANCEMENT MODE MOSFET
PowerDI5060-8</t>
  </si>
  <si>
    <t>25(@5v)</t>
  </si>
  <si>
    <t>30V P-CHANNEL ENHANCEMENT MODE MOSFET
PowerDI5060-8</t>
  </si>
  <si>
    <t>16.2 (@5V)</t>
  </si>
  <si>
    <t>28 (@5V)</t>
  </si>
  <si>
    <t>30V P-CHANNEL ENHANCEMENT MODE MOSFET PowerDI3333-8</t>
  </si>
  <si>
    <t>17.4 (@5V)</t>
  </si>
  <si>
    <t>28(@5V)</t>
  </si>
  <si>
    <t>17.4(@5V)</t>
  </si>
  <si>
    <t>25(@5V)</t>
  </si>
  <si>
    <t>30 (@ 5V)</t>
  </si>
  <si>
    <t>30V P-Channel Enhancement Mode MOSFET</t>
  </si>
  <si>
    <t>P-CHANNEL ENHANCEMENT MODE FIELD EFFECT TRANSISTOR</t>
  </si>
  <si>
    <t>29 (@5V)</t>
  </si>
  <si>
    <t>8.8 (@5V)</t>
  </si>
  <si>
    <t>DUAL P-CHANNEL ENHANCEMENT MODE FIELD EFFECT TRANSISTOR</t>
  </si>
  <si>
    <t>SINGLE P-CHANNEL ENHANCEMENT MODE FIELD EFFECT TRANSISTOR</t>
  </si>
  <si>
    <t>1.5 (@8V)</t>
  </si>
  <si>
    <t>30V DUAL P-CHANNEL ENHANCEMENT MODE MOSFET</t>
  </si>
  <si>
    <t>PCHANNEL ENHANCEMENT MODE MOSFET</t>
  </si>
  <si>
    <t>6 (@5V)</t>
  </si>
  <si>
    <t>PowerDI5060-8, PowerDI5060-8 (SWP) (Type UX)</t>
  </si>
  <si>
    <t>40V P-CHANNEL ENHANCEMENT MODE MOSFET</t>
  </si>
  <si>
    <t>7.9 (@6V)</t>
  </si>
  <si>
    <t>40V P-Channel Enhancement Mode MOSFET</t>
  </si>
  <si>
    <t xml:space="preserve">1.0 </t>
  </si>
  <si>
    <t>47.5 (@5V)</t>
  </si>
  <si>
    <t>40V Dual P-Channel Enhancement Mode MOSFET</t>
  </si>
  <si>
    <t>40V DUAL P-CHANNEL ENHANCEMENT MODE MOSFET</t>
  </si>
  <si>
    <t>TO252 (Standard)</t>
  </si>
  <si>
    <t>450V P-CHANNEL ENHANCEMENT MODE MOSFET</t>
  </si>
  <si>
    <t>TO251 (Type TH)</t>
  </si>
  <si>
    <t>9500_-5V</t>
  </si>
  <si>
    <t>0.5_-5V</t>
  </si>
  <si>
    <t>50V P-CHANNEL ENHANCEMENT MODE MOSFET</t>
  </si>
  <si>
    <t>6000 (@4V)</t>
  </si>
  <si>
    <t>0.22@5V</t>
  </si>
  <si>
    <t>8000@5V</t>
  </si>
  <si>
    <t xml:space="preserve">2.0 </t>
  </si>
  <si>
    <t>0.6@5V</t>
  </si>
  <si>
    <t>0.22 (@ 5V)</t>
  </si>
  <si>
    <t>8000 (@ 5V)</t>
  </si>
  <si>
    <t>0.6 (@ 5V)</t>
  </si>
  <si>
    <t>60V P-CHANNEL ENHANCEMENT MODE MOSFET</t>
  </si>
  <si>
    <t>10,000 (@5V)</t>
  </si>
  <si>
    <t>175°C 60V P-CHANNEL ENHANCEMENT MODE MOSFET</t>
  </si>
  <si>
    <t>60V P-Channel Enhancement Mode MOSFET</t>
  </si>
  <si>
    <t>612 @ 20V</t>
  </si>
  <si>
    <t>600V P-CHANNEL ENHANCEMENT MODE MOSFET</t>
  </si>
  <si>
    <t>SO-8 (Standard B)</t>
  </si>
  <si>
    <t>65V P-CHANNEL ENHANCEMENT MODE MOSFET</t>
  </si>
  <si>
    <t>0.6 (@5V)</t>
  </si>
  <si>
    <t>12V 175°C P-CHANNEL ENHANCEMENT MODE MOSFET</t>
  </si>
  <si>
    <t>124 (@8V)</t>
  </si>
  <si>
    <t>12V 175°C P-CHANNEL ENHANCEMENT MODE MOSFET
PowerDI5060-8</t>
  </si>
  <si>
    <t>20V 175°C P-CHANNEL ENHANCEMENT MODE MOSFET</t>
  </si>
  <si>
    <t>175°C P-CHANNEL ENHANCEMENT MODE MOSFET</t>
  </si>
  <si>
    <t>3,775</t>
  </si>
  <si>
    <t>40V +175°C P-Channel Enhancement Mode MOSFET</t>
  </si>
  <si>
    <t>40V 175°C P-Channel Enhancement Mode MOSFET</t>
  </si>
  <si>
    <t>175°C 40V P-CHANNEL ENHANCEMENT MODE MOSFET</t>
  </si>
  <si>
    <t>175°C 40V P-CHANNEL ENHANCEMENT MODE MOSFET PowerDI5060-8</t>
  </si>
  <si>
    <t>175°C 40V P-Channel Enhancement Mode MOSFET</t>
  </si>
  <si>
    <t>+175°C 40V P-Channel Enhancement Mode MOSFET</t>
  </si>
  <si>
    <t>40V 175°C P-CHANNEL ENHANCEMENT MODE MOSFET</t>
  </si>
  <si>
    <t>40V +175°C Dual P-Channel Enhancement Mode MOSFET</t>
  </si>
  <si>
    <t>60V 175°C P-CHANNEL ENHANCEMENT MODE MOSFET</t>
  </si>
  <si>
    <t>60V P-CHANNEL +175°C MOSFET</t>
  </si>
  <si>
    <t>175°C 60V DUAL P-CHANNEL ENHANCEMENT MODE MOSFET</t>
  </si>
  <si>
    <t>60V 175°C DUAL P-CHANNEL ENHANCEMENT MODE MOSFET</t>
  </si>
  <si>
    <t>175°C 60V Dual P-Channel Enhancement Mode MOSFET</t>
  </si>
  <si>
    <t>P-CHANNEL ENHANCEMENT MODE MOSFET WITH INTEGRATED SCHOTTKY DIODE</t>
  </si>
  <si>
    <t>P+SKY</t>
  </si>
  <si>
    <t>P-CHANNEL ENHANCEMENT MODE MOSFET WITH INTEGRATED SBR</t>
  </si>
  <si>
    <t>W-DFN3020-8 (Type B)</t>
  </si>
  <si>
    <t>TO251</t>
  </si>
  <si>
    <t>100V N-Channel Enhancement Mode MOSFET</t>
  </si>
  <si>
    <t>11.5 (@ 6V)</t>
  </si>
  <si>
    <t>20 (@6V)</t>
  </si>
  <si>
    <t>PowerDI5060-8 (Type E)</t>
  </si>
  <si>
    <t>30 (@6V)</t>
  </si>
  <si>
    <t>100V Dual N-Channel Enhancement Mode MOSFET</t>
  </si>
  <si>
    <t>Dual 100V N-Channel Enhancement Mode MOSFET</t>
  </si>
  <si>
    <t>120V N-CHANNEL ENHANCEMENT MODE MOSFET</t>
  </si>
  <si>
    <t>115V N-CHANNEL ENHANCEMENT MODE MOSFET</t>
  </si>
  <si>
    <t>X4-DSN1515-9</t>
  </si>
  <si>
    <t>X2-DFN2020-6 (Type W)</t>
  </si>
  <si>
    <t>150V N-CHANNEL ENHANCEMENT MODE MOSFET PowerDI5060-8</t>
  </si>
  <si>
    <t>150V N-Channel Enhancement Mode MOSFET</t>
  </si>
  <si>
    <t>DUAL 24V N-CHANNEL ENHANCEMENT MODE MOSFET</t>
  </si>
  <si>
    <t>Asymmetric Dual N-Channel MOSFET</t>
  </si>
  <si>
    <t>11.6, 20.1</t>
  </si>
  <si>
    <t>6, 2</t>
  </si>
  <si>
    <t>7.5, 3.1</t>
  </si>
  <si>
    <t>0.8, 1.1</t>
  </si>
  <si>
    <t>7.2, 26.7</t>
  </si>
  <si>
    <t>15.9, 57.4</t>
  </si>
  <si>
    <t>1010, 4016</t>
  </si>
  <si>
    <t>PowerDI3333-8 (Type F)</t>
  </si>
  <si>
    <t>20, 16</t>
  </si>
  <si>
    <t>V-DFN3030-8 (Type Q)</t>
  </si>
  <si>
    <t>DUAL 30V N-CHANNEL ENHANCEMENT MODE MOSFET</t>
  </si>
  <si>
    <t>11, 14</t>
  </si>
  <si>
    <t>35, 50</t>
  </si>
  <si>
    <t>11.1, 6</t>
  </si>
  <si>
    <t>14, 10</t>
  </si>
  <si>
    <t>6.3, 8.4</t>
  </si>
  <si>
    <t>12.6, 16.7</t>
  </si>
  <si>
    <t>841, 1155</t>
  </si>
  <si>
    <t>PowerDI5060-8 (Type S)</t>
  </si>
  <si>
    <t>V-DFN3030-8 (Type K)</t>
  </si>
  <si>
    <t>PowerDI3333-8 (Type UXD)</t>
  </si>
  <si>
    <t>V-DFN3030-8 (Type KS)</t>
  </si>
  <si>
    <t>20, 20/16</t>
  </si>
  <si>
    <t>8, 10.7</t>
  </si>
  <si>
    <t>21.5, 28.9</t>
  </si>
  <si>
    <t>20, 11.1</t>
  </si>
  <si>
    <t>32, 13.8</t>
  </si>
  <si>
    <t>6, 6.4</t>
  </si>
  <si>
    <t>13.2, 13.8</t>
  </si>
  <si>
    <t>641, 748</t>
  </si>
  <si>
    <t>Symmetric Dual N-Channel MOSFET</t>
  </si>
  <si>
    <t>16,12</t>
  </si>
  <si>
    <t xml:space="preserve">2.5, 2.9 </t>
  </si>
  <si>
    <t>3.2, 3.6</t>
  </si>
  <si>
    <t>15.6, 15.1</t>
  </si>
  <si>
    <t>31.7, 32</t>
  </si>
  <si>
    <t>2101, 2106</t>
  </si>
  <si>
    <t>PowerDI3333-8 (Type G)</t>
  </si>
  <si>
    <t>17, 15.3</t>
  </si>
  <si>
    <t>4.7, 5.8</t>
  </si>
  <si>
    <t>5.7, 7.3</t>
  </si>
  <si>
    <t>14.5, 7.5</t>
  </si>
  <si>
    <t>22.7, 16.3</t>
  </si>
  <si>
    <t>1510, 1032</t>
  </si>
  <si>
    <t>TO220-3</t>
  </si>
  <si>
    <t>DUAL 40V N-CHANNEL ENHANCEMENT MODE MOSFET</t>
  </si>
  <si>
    <t>40V 175°C N-CHANNEL ENHANCEMENT MODE MOSFET</t>
  </si>
  <si>
    <t>3 (@6V)</t>
  </si>
  <si>
    <t>N CHANNEL ENHANCEMENT MODE MOSFET</t>
  </si>
  <si>
    <t>65V N-CHANNEL ENHANCEMENT MODE MOSFET</t>
  </si>
  <si>
    <t>V-DFN3030-8 (Type H)</t>
  </si>
  <si>
    <t>12,5</t>
  </si>
  <si>
    <t>60V DUAL N-CHANNEL ENHANCEMENT MODE MOSFET PowerDI5060-8</t>
  </si>
  <si>
    <t>80V N-Channel Enhancement Mode MOSFET</t>
  </si>
  <si>
    <t>80V N-CHANNEL ENHANCEMENT MODE MOSFET</t>
  </si>
  <si>
    <t>11 (@6V)</t>
  </si>
  <si>
    <t>23 (@6V)</t>
  </si>
  <si>
    <t>100V +175°C N-CHANNEL ENHANCEMENT MODE MOSFET</t>
  </si>
  <si>
    <t>100V +175°C N-Channel Enhancement Mode MOSFET</t>
  </si>
  <si>
    <t>11.5 (@6V)</t>
  </si>
  <si>
    <t>19.5 (@6V)</t>
  </si>
  <si>
    <t>19.5 @ 6V</t>
  </si>
  <si>
    <t>100V 175°C DUAL N-CHANNEL ENHANCEMENT MODE MOSFET</t>
  </si>
  <si>
    <t>100V +175°C Dual N-Channel Enhancement Mode MOSFET</t>
  </si>
  <si>
    <t>13.4 (@6V)</t>
  </si>
  <si>
    <t>100V 175°C Dual N-Channel Enhancement Mode MOSFET</t>
  </si>
  <si>
    <t>100V 175°C DUAL CHANNEL ENHANCEMENT MODE MOSFET
PowerDI5060-8</t>
  </si>
  <si>
    <t>100V 175°C DUAL CHANNEL ENHANCEMENT MODE MOSFET</t>
  </si>
  <si>
    <t>100V 175°C N-CHANNEL ENHANCEMENT MODE MOSFET POWERDI1012-8</t>
  </si>
  <si>
    <t>PowerDI1012-8 (TOLL)</t>
  </si>
  <si>
    <t>100V 175°C N-channel Enhancement Mode MOSFET POWERDI1012-8 (TOLL)</t>
  </si>
  <si>
    <t>120V +175°C N-CHANNEL ENHANCEMENT MODE MOSFET</t>
  </si>
  <si>
    <t>120V 175°C N-CHANNEL ENHANCEMENT MODE MOSFET</t>
  </si>
  <si>
    <t>150V +175°C N-CHANNEL ENHANCEMENT MODE MOSFET</t>
  </si>
  <si>
    <t>150V 175°C N-CHANNEL ENHANCEMENT MODE MOSFET</t>
  </si>
  <si>
    <t>150V +175°C N-Channel Enhancement Mode MOSFET</t>
  </si>
  <si>
    <t>30V 175°C N-CHANNEL ENHANCEMENT MODE MOSFET</t>
  </si>
  <si>
    <t>30V +175°C N-CHANNEL ENHANCEMENT MODE MOSFET</t>
  </si>
  <si>
    <t>40V 175°C N-CHANNEL ENHANCEMENT MODE MOSFET POWERDI1012-8 (TOLL)</t>
  </si>
  <si>
    <t>40V +175°C N-Channel Enhancement Mode MOSFET</t>
  </si>
  <si>
    <t>40V 175°C N-Channel Enhancement MODE MOSFET</t>
  </si>
  <si>
    <t>40V +175°C DUAL N-CHANNEL ENHANCEMENT MODE MOSFET</t>
  </si>
  <si>
    <t>40V +175°C Dual N-Channel Enhancement Mode MOSFET</t>
  </si>
  <si>
    <t>U-DFN2020-6 (SWP) (Type F)</t>
  </si>
  <si>
    <t>40V, +175°C N-Channel Enhancement Mode MOSFET</t>
  </si>
  <si>
    <t>5 (@5V)</t>
  </si>
  <si>
    <t>5.2 (@5V)</t>
  </si>
  <si>
    <t>40V SINGLE N-CHANNEL ENHANCEMENT MODE MOSFET</t>
  </si>
  <si>
    <t>40V 175°C SINGLE N-CHANNEL ENHANCEMENT MODE MOSFET</t>
  </si>
  <si>
    <t>40V +175°C N-CHANNEL ENHANCEMENT MODE MOSFET PowerDI5060-8</t>
  </si>
  <si>
    <t>40V +175°C N-CHANNEL ENHANCEMENT MODE MOSFET PowerDI8080-5</t>
  </si>
  <si>
    <t>PowerDI8080-5</t>
  </si>
  <si>
    <t>PowerDI5060-8 (Type C), PowerDI5060-8/SWP (Type UXD)</t>
  </si>
  <si>
    <t>60V +175°C Dual N-Channel Enhancement Mode MOSFET</t>
  </si>
  <si>
    <t xml:space="preserve">51.7 </t>
  </si>
  <si>
    <t>80V 175°C N-CHANNEL ENHANCEMENT MODE MOSFET POWERDI1012-8</t>
  </si>
  <si>
    <t>80V 175°C N-Channel Enhancement Mode MOSFET POWERDI1012-8 (TOLL)</t>
  </si>
  <si>
    <t>80V +175°C N-CHANNEL ENHANCEMENT MODE MOSFET</t>
  </si>
  <si>
    <t>6 (@6V)</t>
  </si>
  <si>
    <t>80V 175°C N-Channel Enhancement Mode MOSFET</t>
  </si>
  <si>
    <t>80V 175°C Dual N-Channel Enhancement Mode MOSFET</t>
  </si>
  <si>
    <t>80V 175°C N-CHANNEL ENHANCEMENT MODE MOSFET</t>
  </si>
  <si>
    <t>80V +175°C N-Channel Enhancement Mode MOSFET</t>
  </si>
  <si>
    <t>10.5 @6V</t>
  </si>
  <si>
    <t>N-CHANNEL ENHANCEMENT MODE VERTICAL DMOS FET</t>
  </si>
  <si>
    <t>80V 175°C N-CHANNEL ENHANCEMENT MODE MOSFET PowerDI3333-8</t>
  </si>
  <si>
    <t>80V 175°C DUAL N-CHANNEL ENHANCEMENT MODE MOSFET 
PowerDI5060-8</t>
  </si>
  <si>
    <t>5.7 (@6V)</t>
  </si>
  <si>
    <t>41 (@6V)</t>
  </si>
  <si>
    <t>1200V N-Channel Silicon Carbide Power MOSFET</t>
  </si>
  <si>
    <t>15, 4</t>
  </si>
  <si>
    <t>100 @ 15V</t>
  </si>
  <si>
    <t>59.5 @ 15V</t>
  </si>
  <si>
    <t>TO247-4 Standard</t>
  </si>
  <si>
    <t>28.5 (@ 15V)</t>
  </si>
  <si>
    <t>175 (@ 15V)</t>
  </si>
  <si>
    <t>TO247 Standard</t>
  </si>
  <si>
    <t>173.7 (@ 15V)</t>
  </si>
  <si>
    <t>43 (@ 15V)</t>
  </si>
  <si>
    <t>105 (@ 15V)</t>
  </si>
  <si>
    <t>97.5 (@ 15V)</t>
  </si>
  <si>
    <t>50.9 (@ 15V)</t>
  </si>
  <si>
    <t>51.1 (@ 15V)</t>
  </si>
  <si>
    <t>25V PNP Low Sat Transistor with N-Channel MOSFET</t>
  </si>
  <si>
    <t>N+PNP</t>
  </si>
  <si>
    <t>multi-chip</t>
  </si>
  <si>
    <t>N+SKY</t>
  </si>
  <si>
    <t>3000@5V</t>
  </si>
  <si>
    <t>&lt;=50</t>
  </si>
  <si>
    <t>60 max @ 25V</t>
  </si>
  <si>
    <t>70 max @ 25V</t>
  </si>
  <si>
    <t>SOT223 (Type DN)</t>
  </si>
  <si>
    <t>75 max @ 18V</t>
  </si>
  <si>
    <t>75 max @ 25V</t>
  </si>
  <si>
    <t>59 @ 25V</t>
  </si>
  <si>
    <t>35 max @ 18V</t>
  </si>
  <si>
    <t>40 max @ 25V</t>
  </si>
  <si>
    <t>N Channel</t>
  </si>
  <si>
    <t>45 max @ 25V</t>
  </si>
  <si>
    <t>60V N-CHANNEL ENHANCEMENT MODE VERTICAL DMOS FET IN E-LINE</t>
  </si>
  <si>
    <t>5000 (@5V)</t>
  </si>
  <si>
    <t>35 max @ 25V</t>
  </si>
  <si>
    <t>1500 (@5V)</t>
  </si>
  <si>
    <t>100 max @ 25V</t>
  </si>
  <si>
    <t>450 (@5V)</t>
  </si>
  <si>
    <t>350 max @ 25V</t>
  </si>
  <si>
    <t>650 (@5V)</t>
  </si>
  <si>
    <t>100V N-Channel Enhancement Mode Vertical MOSFET in SOT223</t>
  </si>
  <si>
    <t>750 (@5V)</t>
  </si>
  <si>
    <t>240V N-CHANNEL ENHANCEMENT MODE VERTICAL DMOSFET</t>
  </si>
  <si>
    <t>110 @ 25V</t>
  </si>
  <si>
    <t>9500 (@2.4V)</t>
  </si>
  <si>
    <t>72 @ 25V</t>
  </si>
  <si>
    <t>4500 (@5V)</t>
  </si>
  <si>
    <t>47 @ 25V</t>
  </si>
  <si>
    <t>10000 (@3V)</t>
  </si>
  <si>
    <t>120 max @ 25V</t>
  </si>
  <si>
    <t>100 @ 18V</t>
  </si>
  <si>
    <t>100 max @ 18V</t>
  </si>
  <si>
    <t>50 @ 18V</t>
  </si>
  <si>
    <t>100V P-Channel Enhancement Mode MOSFET</t>
  </si>
  <si>
    <t>11000 (@3.5V)</t>
  </si>
  <si>
    <t>73 @ 25V</t>
  </si>
  <si>
    <t>250V PCHANNEL ENHANCEMENT MODE MOSFET</t>
  </si>
  <si>
    <t>240 (@2.7V)</t>
  </si>
  <si>
    <t>900 (@2.7V)</t>
  </si>
  <si>
    <t>375 (@2.7V)</t>
  </si>
  <si>
    <t>130 (@2.7V)</t>
  </si>
  <si>
    <t>MSOP-8</t>
  </si>
  <si>
    <t>6.4, 5.4</t>
  </si>
  <si>
    <t>35, 48</t>
  </si>
  <si>
    <t>50, 70</t>
  </si>
  <si>
    <t>9.2, 12.9 (@5V)</t>
  </si>
  <si>
    <t>17.5, 24.9</t>
  </si>
  <si>
    <t>796, 970</t>
  </si>
  <si>
    <t>50,70</t>
  </si>
  <si>
    <t>5.4, 4.4</t>
  </si>
  <si>
    <t>65, 110</t>
  </si>
  <si>
    <t>6.9, 8.3 (@5V)</t>
  </si>
  <si>
    <t>12.2, 15.8</t>
  </si>
  <si>
    <t>600, 630</t>
  </si>
  <si>
    <t>7.6, 6.3</t>
  </si>
  <si>
    <t>25, 35</t>
  </si>
  <si>
    <t>30, 50</t>
  </si>
  <si>
    <t>19.4, 25 (@5V)</t>
  </si>
  <si>
    <t>36, 45</t>
  </si>
  <si>
    <t>1800, 1603</t>
  </si>
  <si>
    <t>3.7, 2.7</t>
  </si>
  <si>
    <t>120, 210</t>
  </si>
  <si>
    <t>180, 330</t>
  </si>
  <si>
    <t>2.3, 3.8</t>
  </si>
  <si>
    <t>3.9, 6.4</t>
  </si>
  <si>
    <t>190, 206</t>
  </si>
  <si>
    <t>30V SO8 Complementary dual enhancement mode MOSFET</t>
  </si>
  <si>
    <t>7.3, 5.3</t>
  </si>
  <si>
    <t>39, 80</t>
  </si>
  <si>
    <t>12.9, 12.7</t>
  </si>
  <si>
    <t>608, 670</t>
  </si>
  <si>
    <t>4.7, 3.9</t>
  </si>
  <si>
    <t>55, 105</t>
  </si>
  <si>
    <t>75, 125</t>
  </si>
  <si>
    <t>11, 12.1 (@5V)</t>
  </si>
  <si>
    <t>20.4, 24.2</t>
  </si>
  <si>
    <t>1063, 1021</t>
  </si>
  <si>
    <t>5.2, 4.7</t>
  </si>
  <si>
    <t>50, 60</t>
  </si>
  <si>
    <t>75, 100</t>
  </si>
  <si>
    <t>17, 26</t>
  </si>
  <si>
    <t>770, 1000</t>
  </si>
  <si>
    <t>5.1, 4.8</t>
  </si>
  <si>
    <t>45, 55</t>
  </si>
  <si>
    <t>70, 80</t>
  </si>
  <si>
    <t>12.4, 23 (@5V)</t>
  </si>
  <si>
    <t>24.2, 44</t>
  </si>
  <si>
    <t>1407, 1508</t>
  </si>
  <si>
    <t>100V SO8 Complementary enhancement mode MOSFET H-Bridge</t>
  </si>
  <si>
    <t>0.8,0.68</t>
  </si>
  <si>
    <t>700, 1000</t>
  </si>
  <si>
    <t>2.9, 3.5</t>
  </si>
  <si>
    <t>138, 141</t>
  </si>
  <si>
    <t>COMPLEMENTARY 100V ENHANCEMENT MODE MOSFET H-BRIDGE</t>
  </si>
  <si>
    <t>1.0, 0.8</t>
  </si>
  <si>
    <t>SM-8</t>
  </si>
  <si>
    <t>30V SO8 Complementary enhancement mode MOSFET H-Bridge</t>
  </si>
  <si>
    <t>2.17, 1.64</t>
  </si>
  <si>
    <t>125, 210</t>
  </si>
  <si>
    <t>3.9, 5.2</t>
  </si>
  <si>
    <t>190, 204</t>
  </si>
  <si>
    <t>COMPLEMENTARY 30V ENHANCEMENT MODE MOSFET H-BRIDGE</t>
  </si>
  <si>
    <t>2.7, 2.0</t>
  </si>
  <si>
    <t>3.98, 3.36</t>
  </si>
  <si>
    <t>33, 55</t>
  </si>
  <si>
    <t>60, 80</t>
  </si>
  <si>
    <t>9, 12.7</t>
  </si>
  <si>
    <t>430, 670</t>
  </si>
  <si>
    <t>60V SO8 Complementary enhancement mode MOSFET H-Bridge</t>
  </si>
  <si>
    <t>1.39, 1.28</t>
  </si>
  <si>
    <t>250, 400</t>
  </si>
  <si>
    <t>350, 600</t>
  </si>
  <si>
    <t>3.2, 5.1</t>
  </si>
  <si>
    <t>166, 141</t>
  </si>
  <si>
    <t>40, 50</t>
  </si>
  <si>
    <t>COMPLEMENTARY 60V ENHANCEMENT MODE MOSFET H-BRIDGE</t>
  </si>
  <si>
    <t>1.6, 1.3</t>
  </si>
  <si>
    <t>300, 425</t>
  </si>
  <si>
    <t>450, 630</t>
  </si>
  <si>
    <t>166, 233</t>
  </si>
  <si>
    <t>40, 30</t>
  </si>
  <si>
    <t>60V N-CHANNEL MOSFET H-BRIDGE</t>
  </si>
  <si>
    <t>100V N-CHANNEL ENHANCEMENT MODE MOSFET IN SOT89 PACKAGE</t>
  </si>
  <si>
    <t>300 (@6V)</t>
  </si>
  <si>
    <t>4.2 (@5V)</t>
  </si>
  <si>
    <t>100 (@6V)</t>
  </si>
  <si>
    <t>17.2 (@5V)</t>
  </si>
  <si>
    <t>450 (@6V)</t>
  </si>
  <si>
    <t>3.5 (@5V)</t>
  </si>
  <si>
    <t>150 (@6V)</t>
  </si>
  <si>
    <t>9.6 (@5V)</t>
  </si>
  <si>
    <t>169 @ 25V</t>
  </si>
  <si>
    <t>780 (@5V)</t>
  </si>
  <si>
    <t>8.1 (@5V)</t>
  </si>
  <si>
    <t>358 @ 25V</t>
  </si>
  <si>
    <t>2.3 (@5V)</t>
  </si>
  <si>
    <t>14.5 (@5V)</t>
  </si>
  <si>
    <t>6.9 (@5V)</t>
  </si>
  <si>
    <t>19.9 (@5V)</t>
  </si>
  <si>
    <t>9.2 (@5V)</t>
  </si>
  <si>
    <t>3.7, 3.0</t>
  </si>
  <si>
    <t>4.6, 4.0</t>
  </si>
  <si>
    <t>7.3, 5.7</t>
  </si>
  <si>
    <t>7.1, 5.6</t>
  </si>
  <si>
    <t>770 @ 40V</t>
  </si>
  <si>
    <t>1.65 (@5V)</t>
  </si>
  <si>
    <t>166 @ 40V</t>
  </si>
  <si>
    <t>1.65 (@ 5V)</t>
  </si>
  <si>
    <t>459 @ 40V</t>
  </si>
  <si>
    <t>4 (@5V)</t>
  </si>
  <si>
    <t>60V SOT223 N-channel enhancement mode MOSFET</t>
  </si>
  <si>
    <t>SOT223 (Type ZN)</t>
  </si>
  <si>
    <t>1407 @ 40V</t>
  </si>
  <si>
    <t>3 (@5V)</t>
  </si>
  <si>
    <t>330 @ 40V</t>
  </si>
  <si>
    <t>11 (@5V)</t>
  </si>
  <si>
    <t>4.35 (@5V)</t>
  </si>
  <si>
    <t>298 @ 40V</t>
  </si>
  <si>
    <t>1450(@6V)</t>
  </si>
  <si>
    <t>1.8 (@5V)</t>
  </si>
  <si>
    <t>285(@6V)</t>
  </si>
  <si>
    <t>450(@6V)</t>
  </si>
  <si>
    <t>7.1(@6V)</t>
  </si>
  <si>
    <t>190(@6V)</t>
  </si>
  <si>
    <t>190 (@ -6V)</t>
  </si>
  <si>
    <t>SOT23F</t>
  </si>
  <si>
    <t>3.8 (@5V)</t>
  </si>
  <si>
    <t>8.28 (@5V)</t>
  </si>
  <si>
    <t>13.6 (@5V)</t>
  </si>
  <si>
    <t>16.5 (@5V)</t>
  </si>
  <si>
    <t>12.1 (@5V)</t>
  </si>
  <si>
    <t>DUAL P-CHANNEL 60V ENHANCEMENT MODE MOSFET</t>
  </si>
  <si>
    <t>9.8 (@5V)</t>
  </si>
  <si>
    <t>23 (@5V)</t>
  </si>
  <si>
    <t>70V P-CHANNEL ENHANCEMENT MODE MOSFET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</si>
</sst>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" TargetMode="External"/><Relationship Id="rId_hyperlink_2" Type="http://schemas.openxmlformats.org/officeDocument/2006/relationships/hyperlink" Target="https://www.diodes.com/assets/Datasheets/2N7002.pdf" TargetMode="External"/><Relationship Id="rId_hyperlink_3" Type="http://schemas.openxmlformats.org/officeDocument/2006/relationships/hyperlink" Target="https://www.diodes.com/part/view/2N7002A" TargetMode="External"/><Relationship Id="rId_hyperlink_4" Type="http://schemas.openxmlformats.org/officeDocument/2006/relationships/hyperlink" Target="https://www.diodes.com/assets/Datasheets/ds31360.pdf" TargetMode="External"/><Relationship Id="rId_hyperlink_5" Type="http://schemas.openxmlformats.org/officeDocument/2006/relationships/hyperlink" Target="https://www.diodes.com/part/view/2N7002AQ" TargetMode="External"/><Relationship Id="rId_hyperlink_6" Type="http://schemas.openxmlformats.org/officeDocument/2006/relationships/hyperlink" Target="https://www.diodes.com/assets/Datasheets/2N7002AQ.pdf" TargetMode="External"/><Relationship Id="rId_hyperlink_7" Type="http://schemas.openxmlformats.org/officeDocument/2006/relationships/hyperlink" Target="https://www.diodes.com/part/view/2N7002DW" TargetMode="External"/><Relationship Id="rId_hyperlink_8" Type="http://schemas.openxmlformats.org/officeDocument/2006/relationships/hyperlink" Target="https://www.diodes.com/assets/Datasheets/2N7002DW.pdf" TargetMode="External"/><Relationship Id="rId_hyperlink_9" Type="http://schemas.openxmlformats.org/officeDocument/2006/relationships/hyperlink" Target="https://www.diodes.com/part/view/2N7002DWK" TargetMode="External"/><Relationship Id="rId_hyperlink_10" Type="http://schemas.openxmlformats.org/officeDocument/2006/relationships/hyperlink" Target="https://www.diodes.com/assets/Datasheets/2N7002DWK.pdf" TargetMode="External"/><Relationship Id="rId_hyperlink_11" Type="http://schemas.openxmlformats.org/officeDocument/2006/relationships/hyperlink" Target="https://www.diodes.com/part/view/2N7002DWQ" TargetMode="External"/><Relationship Id="rId_hyperlink_12" Type="http://schemas.openxmlformats.org/officeDocument/2006/relationships/hyperlink" Target="https://www.diodes.com/assets/Datasheets/2N7002DWQ.pdf" TargetMode="External"/><Relationship Id="rId_hyperlink_13" Type="http://schemas.openxmlformats.org/officeDocument/2006/relationships/hyperlink" Target="https://www.diodes.com/part/view/2N7002DWS" TargetMode="External"/><Relationship Id="rId_hyperlink_14" Type="http://schemas.openxmlformats.org/officeDocument/2006/relationships/hyperlink" Target="https://www.diodes.com/assets/Datasheets/2N7002DWS.pdf" TargetMode="External"/><Relationship Id="rId_hyperlink_15" Type="http://schemas.openxmlformats.org/officeDocument/2006/relationships/hyperlink" Target="https://www.diodes.com/part/view/2N7002E" TargetMode="External"/><Relationship Id="rId_hyperlink_16" Type="http://schemas.openxmlformats.org/officeDocument/2006/relationships/hyperlink" Target="https://www.diodes.com/assets/Datasheets/ds30376.pdf" TargetMode="External"/><Relationship Id="rId_hyperlink_17" Type="http://schemas.openxmlformats.org/officeDocument/2006/relationships/hyperlink" Target="https://www.diodes.com/part/view/2N7002EQ" TargetMode="External"/><Relationship Id="rId_hyperlink_18" Type="http://schemas.openxmlformats.org/officeDocument/2006/relationships/hyperlink" Target="https://www.diodes.com/assets/Datasheets/2N7002EQ.pdf" TargetMode="External"/><Relationship Id="rId_hyperlink_19" Type="http://schemas.openxmlformats.org/officeDocument/2006/relationships/hyperlink" Target="https://www.diodes.com/part/view/2N7002H" TargetMode="External"/><Relationship Id="rId_hyperlink_20" Type="http://schemas.openxmlformats.org/officeDocument/2006/relationships/hyperlink" Target="https://www.diodes.com/assets/Datasheets/2N7002H.pdf" TargetMode="External"/><Relationship Id="rId_hyperlink_21" Type="http://schemas.openxmlformats.org/officeDocument/2006/relationships/hyperlink" Target="https://www.diodes.com/part/view/2N7002K" TargetMode="External"/><Relationship Id="rId_hyperlink_22" Type="http://schemas.openxmlformats.org/officeDocument/2006/relationships/hyperlink" Target="https://www.diodes.com/assets/Datasheets/2N7002K.pdf" TargetMode="External"/><Relationship Id="rId_hyperlink_23" Type="http://schemas.openxmlformats.org/officeDocument/2006/relationships/hyperlink" Target="https://www.diodes.com/part/view/2N7002KQ" TargetMode="External"/><Relationship Id="rId_hyperlink_24" Type="http://schemas.openxmlformats.org/officeDocument/2006/relationships/hyperlink" Target="https://www.diodes.com/assets/Datasheets/2N7002KQ.pdf" TargetMode="External"/><Relationship Id="rId_hyperlink_25" Type="http://schemas.openxmlformats.org/officeDocument/2006/relationships/hyperlink" Target="https://www.diodes.com/part/view/2N7002Q" TargetMode="External"/><Relationship Id="rId_hyperlink_26" Type="http://schemas.openxmlformats.org/officeDocument/2006/relationships/hyperlink" Target="https://www.diodes.com/assets/Datasheets/2N7002Q.pdf" TargetMode="External"/><Relationship Id="rId_hyperlink_27" Type="http://schemas.openxmlformats.org/officeDocument/2006/relationships/hyperlink" Target="https://www.diodes.com/part/view/2N7002T" TargetMode="External"/><Relationship Id="rId_hyperlink_28" Type="http://schemas.openxmlformats.org/officeDocument/2006/relationships/hyperlink" Target="https://www.diodes.com/assets/Datasheets/ds30301.pdf" TargetMode="External"/><Relationship Id="rId_hyperlink_29" Type="http://schemas.openxmlformats.org/officeDocument/2006/relationships/hyperlink" Target="https://www.diodes.com/part/view/2N7002TQ" TargetMode="External"/><Relationship Id="rId_hyperlink_30" Type="http://schemas.openxmlformats.org/officeDocument/2006/relationships/hyperlink" Target="https://www.diodes.com/assets/Datasheets/2N7002TQ.pdf" TargetMode="External"/><Relationship Id="rId_hyperlink_31" Type="http://schemas.openxmlformats.org/officeDocument/2006/relationships/hyperlink" Target="https://www.diodes.com/part/view/2N7002VAC" TargetMode="External"/><Relationship Id="rId_hyperlink_32" Type="http://schemas.openxmlformats.org/officeDocument/2006/relationships/hyperlink" Target="https://www.diodes.com/assets/Datasheets/ds30639.pdf" TargetMode="External"/><Relationship Id="rId_hyperlink_33" Type="http://schemas.openxmlformats.org/officeDocument/2006/relationships/hyperlink" Target="https://www.diodes.com/part/view/2N7002VC" TargetMode="External"/><Relationship Id="rId_hyperlink_34" Type="http://schemas.openxmlformats.org/officeDocument/2006/relationships/hyperlink" Target="https://www.diodes.com/assets/Datasheets/ds30639.pdf" TargetMode="External"/><Relationship Id="rId_hyperlink_35" Type="http://schemas.openxmlformats.org/officeDocument/2006/relationships/hyperlink" Target="https://www.diodes.com/part/view/2N7002W" TargetMode="External"/><Relationship Id="rId_hyperlink_36" Type="http://schemas.openxmlformats.org/officeDocument/2006/relationships/hyperlink" Target="https://www.diodes.com/assets/Datasheets/2N7002W.pdf" TargetMode="External"/><Relationship Id="rId_hyperlink_37" Type="http://schemas.openxmlformats.org/officeDocument/2006/relationships/hyperlink" Target="https://www.diodes.com/part/view/BS107P" TargetMode="External"/><Relationship Id="rId_hyperlink_38" Type="http://schemas.openxmlformats.org/officeDocument/2006/relationships/hyperlink" Target="https://www.diodes.com/assets/Datasheets/BS107P.pdf" TargetMode="External"/><Relationship Id="rId_hyperlink_39" Type="http://schemas.openxmlformats.org/officeDocument/2006/relationships/hyperlink" Target="https://www.diodes.com/part/view/BS170F" TargetMode="External"/><Relationship Id="rId_hyperlink_40" Type="http://schemas.openxmlformats.org/officeDocument/2006/relationships/hyperlink" Target="https://www.diodes.com/assets/Datasheets/BS170F.pdf" TargetMode="External"/><Relationship Id="rId_hyperlink_41" Type="http://schemas.openxmlformats.org/officeDocument/2006/relationships/hyperlink" Target="https://www.diodes.com/part/view/BS170P" TargetMode="External"/><Relationship Id="rId_hyperlink_42" Type="http://schemas.openxmlformats.org/officeDocument/2006/relationships/hyperlink" Target="https://www.diodes.com/assets/Datasheets/BS170P.pdf" TargetMode="External"/><Relationship Id="rId_hyperlink_43" Type="http://schemas.openxmlformats.org/officeDocument/2006/relationships/hyperlink" Target="https://www.diodes.com/part/view/BS250F" TargetMode="External"/><Relationship Id="rId_hyperlink_44" Type="http://schemas.openxmlformats.org/officeDocument/2006/relationships/hyperlink" Target="https://www.diodes.com/assets/Datasheets/BS250F.pdf" TargetMode="External"/><Relationship Id="rId_hyperlink_45" Type="http://schemas.openxmlformats.org/officeDocument/2006/relationships/hyperlink" Target="https://www.diodes.com/part/view/BS250P" TargetMode="External"/><Relationship Id="rId_hyperlink_46" Type="http://schemas.openxmlformats.org/officeDocument/2006/relationships/hyperlink" Target="https://www.diodes.com/assets/Datasheets/BS250P.pdf" TargetMode="External"/><Relationship Id="rId_hyperlink_47" Type="http://schemas.openxmlformats.org/officeDocument/2006/relationships/hyperlink" Target="https://www.diodes.com/part/view/BS870" TargetMode="External"/><Relationship Id="rId_hyperlink_48" Type="http://schemas.openxmlformats.org/officeDocument/2006/relationships/hyperlink" Target="https://www.diodes.com/assets/Datasheets/ds11302.pdf" TargetMode="External"/><Relationship Id="rId_hyperlink_49" Type="http://schemas.openxmlformats.org/officeDocument/2006/relationships/hyperlink" Target="https://www.diodes.com/part/view/BS870Q" TargetMode="External"/><Relationship Id="rId_hyperlink_50" Type="http://schemas.openxmlformats.org/officeDocument/2006/relationships/hyperlink" Target="https://www.diodes.com/assets/Datasheets/BS870Q.pdf" TargetMode="External"/><Relationship Id="rId_hyperlink_51" Type="http://schemas.openxmlformats.org/officeDocument/2006/relationships/hyperlink" Target="https://www.diodes.com/part/view/BSN20" TargetMode="External"/><Relationship Id="rId_hyperlink_52" Type="http://schemas.openxmlformats.org/officeDocument/2006/relationships/hyperlink" Target="https://www.diodes.com/assets/Datasheets/ds31898.pdf" TargetMode="External"/><Relationship Id="rId_hyperlink_53" Type="http://schemas.openxmlformats.org/officeDocument/2006/relationships/hyperlink" Target="https://www.diodes.com/part/view/BSS123" TargetMode="External"/><Relationship Id="rId_hyperlink_54" Type="http://schemas.openxmlformats.org/officeDocument/2006/relationships/hyperlink" Target="https://www.diodes.com/assets/Datasheets/ds30366.pdf" TargetMode="External"/><Relationship Id="rId_hyperlink_55" Type="http://schemas.openxmlformats.org/officeDocument/2006/relationships/hyperlink" Target="https://www.diodes.com/part/view/BSS123%28Z%29" TargetMode="External"/><Relationship Id="rId_hyperlink_56" Type="http://schemas.openxmlformats.org/officeDocument/2006/relationships/hyperlink" Target="https://www.diodes.com/assets/Datasheets/BSS123Z.pdf" TargetMode="External"/><Relationship Id="rId_hyperlink_57" Type="http://schemas.openxmlformats.org/officeDocument/2006/relationships/hyperlink" Target="https://www.diodes.com/part/view/BSS123K" TargetMode="External"/><Relationship Id="rId_hyperlink_58" Type="http://schemas.openxmlformats.org/officeDocument/2006/relationships/hyperlink" Target="https://www.diodes.com/assets/Datasheets/BSS123K.pdf" TargetMode="External"/><Relationship Id="rId_hyperlink_59" Type="http://schemas.openxmlformats.org/officeDocument/2006/relationships/hyperlink" Target="https://www.diodes.com/part/view/BSS123Q" TargetMode="External"/><Relationship Id="rId_hyperlink_60" Type="http://schemas.openxmlformats.org/officeDocument/2006/relationships/hyperlink" Target="https://www.diodes.com/assets/Datasheets/BSS123Q.pdf" TargetMode="External"/><Relationship Id="rId_hyperlink_61" Type="http://schemas.openxmlformats.org/officeDocument/2006/relationships/hyperlink" Target="https://www.diodes.com/part/view/BSS123W" TargetMode="External"/><Relationship Id="rId_hyperlink_62" Type="http://schemas.openxmlformats.org/officeDocument/2006/relationships/hyperlink" Target="https://www.diodes.com/assets/Datasheets/ds30368.pdf" TargetMode="External"/><Relationship Id="rId_hyperlink_63" Type="http://schemas.openxmlformats.org/officeDocument/2006/relationships/hyperlink" Target="https://www.diodes.com/part/view/BSS123WQ" TargetMode="External"/><Relationship Id="rId_hyperlink_64" Type="http://schemas.openxmlformats.org/officeDocument/2006/relationships/hyperlink" Target="https://www.diodes.com/assets/Datasheets/BSS123WQ.pdf" TargetMode="External"/><Relationship Id="rId_hyperlink_65" Type="http://schemas.openxmlformats.org/officeDocument/2006/relationships/hyperlink" Target="https://www.diodes.com/part/view/BSS127S" TargetMode="External"/><Relationship Id="rId_hyperlink_66" Type="http://schemas.openxmlformats.org/officeDocument/2006/relationships/hyperlink" Target="https://www.diodes.com/assets/Datasheets/BSS127.pdf" TargetMode="External"/><Relationship Id="rId_hyperlink_67" Type="http://schemas.openxmlformats.org/officeDocument/2006/relationships/hyperlink" Target="https://www.diodes.com/part/view/BSS127SSN" TargetMode="External"/><Relationship Id="rId_hyperlink_68" Type="http://schemas.openxmlformats.org/officeDocument/2006/relationships/hyperlink" Target="https://www.diodes.com/assets/Datasheets/BSS127.pdf" TargetMode="External"/><Relationship Id="rId_hyperlink_69" Type="http://schemas.openxmlformats.org/officeDocument/2006/relationships/hyperlink" Target="https://www.diodes.com/part/view/BSS138" TargetMode="External"/><Relationship Id="rId_hyperlink_70" Type="http://schemas.openxmlformats.org/officeDocument/2006/relationships/hyperlink" Target="https://www.diodes.com/assets/Datasheets/BSS138.pdf" TargetMode="External"/><Relationship Id="rId_hyperlink_71" Type="http://schemas.openxmlformats.org/officeDocument/2006/relationships/hyperlink" Target="https://www.diodes.com/part/view/BSS138DW" TargetMode="External"/><Relationship Id="rId_hyperlink_72" Type="http://schemas.openxmlformats.org/officeDocument/2006/relationships/hyperlink" Target="https://www.diodes.com/assets/Datasheets/ds30203.pdf" TargetMode="External"/><Relationship Id="rId_hyperlink_73" Type="http://schemas.openxmlformats.org/officeDocument/2006/relationships/hyperlink" Target="https://www.diodes.com/part/view/BSS138DWK" TargetMode="External"/><Relationship Id="rId_hyperlink_74" Type="http://schemas.openxmlformats.org/officeDocument/2006/relationships/hyperlink" Target="https://www.diodes.com/assets/Datasheets/BSS138DWK.pdf" TargetMode="External"/><Relationship Id="rId_hyperlink_75" Type="http://schemas.openxmlformats.org/officeDocument/2006/relationships/hyperlink" Target="https://www.diodes.com/part/view/BSS138DWQ" TargetMode="External"/><Relationship Id="rId_hyperlink_76" Type="http://schemas.openxmlformats.org/officeDocument/2006/relationships/hyperlink" Target="https://www.diodes.com/assets/Datasheets/BSS138DWQ.pdf" TargetMode="External"/><Relationship Id="rId_hyperlink_77" Type="http://schemas.openxmlformats.org/officeDocument/2006/relationships/hyperlink" Target="https://www.diodes.com/part/view/BSS138K" TargetMode="External"/><Relationship Id="rId_hyperlink_78" Type="http://schemas.openxmlformats.org/officeDocument/2006/relationships/hyperlink" Target="https://www.diodes.com/assets/Datasheets/BSS138K.pdf" TargetMode="External"/><Relationship Id="rId_hyperlink_79" Type="http://schemas.openxmlformats.org/officeDocument/2006/relationships/hyperlink" Target="https://www.diodes.com/part/view/BSS138Q" TargetMode="External"/><Relationship Id="rId_hyperlink_80" Type="http://schemas.openxmlformats.org/officeDocument/2006/relationships/hyperlink" Target="https://www.diodes.com/assets/Datasheets/BSS138Q.pdf" TargetMode="External"/><Relationship Id="rId_hyperlink_81" Type="http://schemas.openxmlformats.org/officeDocument/2006/relationships/hyperlink" Target="https://www.diodes.com/part/view/BSS138W" TargetMode="External"/><Relationship Id="rId_hyperlink_82" Type="http://schemas.openxmlformats.org/officeDocument/2006/relationships/hyperlink" Target="https://www.diodes.com/assets/Datasheets/BSS138W.pdf" TargetMode="External"/><Relationship Id="rId_hyperlink_83" Type="http://schemas.openxmlformats.org/officeDocument/2006/relationships/hyperlink" Target="https://www.diodes.com/part/view/BSS138WQ" TargetMode="External"/><Relationship Id="rId_hyperlink_84" Type="http://schemas.openxmlformats.org/officeDocument/2006/relationships/hyperlink" Target="https://www.diodes.com/assets/Datasheets/BSS138WQ.pdf" TargetMode="External"/><Relationship Id="rId_hyperlink_85" Type="http://schemas.openxmlformats.org/officeDocument/2006/relationships/hyperlink" Target="https://www.diodes.com/part/view/BSS84" TargetMode="External"/><Relationship Id="rId_hyperlink_86" Type="http://schemas.openxmlformats.org/officeDocument/2006/relationships/hyperlink" Target="https://www.diodes.com/assets/Datasheets/BSS84.pdf" TargetMode="External"/><Relationship Id="rId_hyperlink_87" Type="http://schemas.openxmlformats.org/officeDocument/2006/relationships/hyperlink" Target="https://www.diodes.com/part/view/BSS8402DW" TargetMode="External"/><Relationship Id="rId_hyperlink_88" Type="http://schemas.openxmlformats.org/officeDocument/2006/relationships/hyperlink" Target="https://www.diodes.com/assets/Datasheets/ds30380.pdf" TargetMode="External"/><Relationship Id="rId_hyperlink_89" Type="http://schemas.openxmlformats.org/officeDocument/2006/relationships/hyperlink" Target="https://www.diodes.com/part/view/BSS84DW" TargetMode="External"/><Relationship Id="rId_hyperlink_90" Type="http://schemas.openxmlformats.org/officeDocument/2006/relationships/hyperlink" Target="https://www.diodes.com/assets/Datasheets/BSS84DW.pdf" TargetMode="External"/><Relationship Id="rId_hyperlink_91" Type="http://schemas.openxmlformats.org/officeDocument/2006/relationships/hyperlink" Target="https://www.diodes.com/part/view/BSS84DWQ" TargetMode="External"/><Relationship Id="rId_hyperlink_92" Type="http://schemas.openxmlformats.org/officeDocument/2006/relationships/hyperlink" Target="https://www.diodes.com/assets/Datasheets/BSS84DWQ.pdf" TargetMode="External"/><Relationship Id="rId_hyperlink_93" Type="http://schemas.openxmlformats.org/officeDocument/2006/relationships/hyperlink" Target="https://www.diodes.com/part/view/BSS84Q" TargetMode="External"/><Relationship Id="rId_hyperlink_94" Type="http://schemas.openxmlformats.org/officeDocument/2006/relationships/hyperlink" Target="https://www.diodes.com/assets/Datasheets/BSS84Q.pdf" TargetMode="External"/><Relationship Id="rId_hyperlink_95" Type="http://schemas.openxmlformats.org/officeDocument/2006/relationships/hyperlink" Target="https://www.diodes.com/part/view/BSS84W" TargetMode="External"/><Relationship Id="rId_hyperlink_96" Type="http://schemas.openxmlformats.org/officeDocument/2006/relationships/hyperlink" Target="https://www.diodes.com/assets/Datasheets/BSS84W.pdf" TargetMode="External"/><Relationship Id="rId_hyperlink_97" Type="http://schemas.openxmlformats.org/officeDocument/2006/relationships/hyperlink" Target="https://www.diodes.com/part/view/BSS84WQ" TargetMode="External"/><Relationship Id="rId_hyperlink_98" Type="http://schemas.openxmlformats.org/officeDocument/2006/relationships/hyperlink" Target="https://www.diodes.com/assets/Datasheets/BSS84WQ.pdf" TargetMode="External"/><Relationship Id="rId_hyperlink_99" Type="http://schemas.openxmlformats.org/officeDocument/2006/relationships/hyperlink" Target="https://www.diodes.com/part/view/DMC1015UPD" TargetMode="External"/><Relationship Id="rId_hyperlink_100" Type="http://schemas.openxmlformats.org/officeDocument/2006/relationships/hyperlink" Target="https://www.diodes.com/assets/Datasheets/DMC1015UPD.pdf" TargetMode="External"/><Relationship Id="rId_hyperlink_101" Type="http://schemas.openxmlformats.org/officeDocument/2006/relationships/hyperlink" Target="https://www.diodes.com/part/view/DMC1016UPD" TargetMode="External"/><Relationship Id="rId_hyperlink_102" Type="http://schemas.openxmlformats.org/officeDocument/2006/relationships/hyperlink" Target="https://www.diodes.com/assets/Datasheets/DMC1016UPD.pdf" TargetMode="External"/><Relationship Id="rId_hyperlink_103" Type="http://schemas.openxmlformats.org/officeDocument/2006/relationships/hyperlink" Target="https://www.diodes.com/part/view/DMC1018UPD" TargetMode="External"/><Relationship Id="rId_hyperlink_104" Type="http://schemas.openxmlformats.org/officeDocument/2006/relationships/hyperlink" Target="https://www.diodes.com/assets/Datasheets/DMC1018UPD.pdf" TargetMode="External"/><Relationship Id="rId_hyperlink_105" Type="http://schemas.openxmlformats.org/officeDocument/2006/relationships/hyperlink" Target="https://www.diodes.com/part/view/DMC1018UPDWQ" TargetMode="External"/><Relationship Id="rId_hyperlink_106" Type="http://schemas.openxmlformats.org/officeDocument/2006/relationships/hyperlink" Target="https://www.diodes.com/assets/Datasheets/DMC1018UPDWQ.pdf" TargetMode="External"/><Relationship Id="rId_hyperlink_107" Type="http://schemas.openxmlformats.org/officeDocument/2006/relationships/hyperlink" Target="https://www.diodes.com/part/view/DMC1028UFDB" TargetMode="External"/><Relationship Id="rId_hyperlink_108" Type="http://schemas.openxmlformats.org/officeDocument/2006/relationships/hyperlink" Target="https://www.diodes.com/assets/Datasheets/DMC1028UFDB.pdf" TargetMode="External"/><Relationship Id="rId_hyperlink_109" Type="http://schemas.openxmlformats.org/officeDocument/2006/relationships/hyperlink" Target="https://www.diodes.com/part/view/DMC1028UVT" TargetMode="External"/><Relationship Id="rId_hyperlink_110" Type="http://schemas.openxmlformats.org/officeDocument/2006/relationships/hyperlink" Target="https://www.diodes.com/assets/Datasheets/DMC1028UVT.pdf" TargetMode="External"/><Relationship Id="rId_hyperlink_111" Type="http://schemas.openxmlformats.org/officeDocument/2006/relationships/hyperlink" Target="https://www.diodes.com/part/view/DMC1029UFDB" TargetMode="External"/><Relationship Id="rId_hyperlink_112" Type="http://schemas.openxmlformats.org/officeDocument/2006/relationships/hyperlink" Target="https://www.diodes.com/assets/Datasheets/DMC1029UFDB.pdf" TargetMode="External"/><Relationship Id="rId_hyperlink_113" Type="http://schemas.openxmlformats.org/officeDocument/2006/relationships/hyperlink" Target="https://www.diodes.com/part/view/DMC1030UFDB" TargetMode="External"/><Relationship Id="rId_hyperlink_114" Type="http://schemas.openxmlformats.org/officeDocument/2006/relationships/hyperlink" Target="https://www.diodes.com/assets/Datasheets/DMC1030UFDB.pdf" TargetMode="External"/><Relationship Id="rId_hyperlink_115" Type="http://schemas.openxmlformats.org/officeDocument/2006/relationships/hyperlink" Target="https://www.diodes.com/part/view/DMC10H172SSD" TargetMode="External"/><Relationship Id="rId_hyperlink_116" Type="http://schemas.openxmlformats.org/officeDocument/2006/relationships/hyperlink" Target="https://www.diodes.com/assets/Datasheets/DMC10H172SSD.pdf" TargetMode="External"/><Relationship Id="rId_hyperlink_117" Type="http://schemas.openxmlformats.org/officeDocument/2006/relationships/hyperlink" Target="https://www.diodes.com/part/view/DMC10H220LSD" TargetMode="External"/><Relationship Id="rId_hyperlink_118" Type="http://schemas.openxmlformats.org/officeDocument/2006/relationships/hyperlink" Target="https://www.diodes.com/assets/Datasheets/DMC10H220LSD.pdf" TargetMode="External"/><Relationship Id="rId_hyperlink_119" Type="http://schemas.openxmlformats.org/officeDocument/2006/relationships/hyperlink" Target="https://www.diodes.com/part/view/DMC1229UFDB" TargetMode="External"/><Relationship Id="rId_hyperlink_120" Type="http://schemas.openxmlformats.org/officeDocument/2006/relationships/hyperlink" Target="https://www.diodes.com/assets/Datasheets/DMC1229UFDB.pdf" TargetMode="External"/><Relationship Id="rId_hyperlink_121" Type="http://schemas.openxmlformats.org/officeDocument/2006/relationships/hyperlink" Target="https://www.diodes.com/part/view/DMC2004DWK" TargetMode="External"/><Relationship Id="rId_hyperlink_122" Type="http://schemas.openxmlformats.org/officeDocument/2006/relationships/hyperlink" Target="https://www.diodes.com/assets/Datasheets/ds31114.pdf" TargetMode="External"/><Relationship Id="rId_hyperlink_123" Type="http://schemas.openxmlformats.org/officeDocument/2006/relationships/hyperlink" Target="https://www.diodes.com/part/view/DMC2004LPK" TargetMode="External"/><Relationship Id="rId_hyperlink_124" Type="http://schemas.openxmlformats.org/officeDocument/2006/relationships/hyperlink" Target="https://www.diodes.com/assets/Datasheets/ds30854.pdf" TargetMode="External"/><Relationship Id="rId_hyperlink_125" Type="http://schemas.openxmlformats.org/officeDocument/2006/relationships/hyperlink" Target="https://www.diodes.com/part/view/DMC2020USD" TargetMode="External"/><Relationship Id="rId_hyperlink_126" Type="http://schemas.openxmlformats.org/officeDocument/2006/relationships/hyperlink" Target="https://www.diodes.com/assets/Datasheets/DMC2020USD.pdf" TargetMode="External"/><Relationship Id="rId_hyperlink_127" Type="http://schemas.openxmlformats.org/officeDocument/2006/relationships/hyperlink" Target="https://www.diodes.com/part/view/DMC2025UFDB" TargetMode="External"/><Relationship Id="rId_hyperlink_128" Type="http://schemas.openxmlformats.org/officeDocument/2006/relationships/hyperlink" Target="https://www.diodes.com/assets/Datasheets/DMC2025UFDB.pdf" TargetMode="External"/><Relationship Id="rId_hyperlink_129" Type="http://schemas.openxmlformats.org/officeDocument/2006/relationships/hyperlink" Target="https://www.diodes.com/part/view/DMC2025UFDBQ" TargetMode="External"/><Relationship Id="rId_hyperlink_130" Type="http://schemas.openxmlformats.org/officeDocument/2006/relationships/hyperlink" Target="https://www.diodes.com/assets/Datasheets/DMC2025UFDBQ.pdf" TargetMode="External"/><Relationship Id="rId_hyperlink_131" Type="http://schemas.openxmlformats.org/officeDocument/2006/relationships/hyperlink" Target="https://www.diodes.com/part/view/DMC2041UFDB" TargetMode="External"/><Relationship Id="rId_hyperlink_132" Type="http://schemas.openxmlformats.org/officeDocument/2006/relationships/hyperlink" Target="https://www.diodes.com/assets/Datasheets/DMC2041UFDB.pdf" TargetMode="External"/><Relationship Id="rId_hyperlink_133" Type="http://schemas.openxmlformats.org/officeDocument/2006/relationships/hyperlink" Target="https://www.diodes.com/part/view/DMC2053UFDB" TargetMode="External"/><Relationship Id="rId_hyperlink_134" Type="http://schemas.openxmlformats.org/officeDocument/2006/relationships/hyperlink" Target="https://www.diodes.com/assets/Datasheets/DMC2053UFDB.pdf" TargetMode="External"/><Relationship Id="rId_hyperlink_135" Type="http://schemas.openxmlformats.org/officeDocument/2006/relationships/hyperlink" Target="https://www.diodes.com/part/view/DMC2053UFDBQ" TargetMode="External"/><Relationship Id="rId_hyperlink_136" Type="http://schemas.openxmlformats.org/officeDocument/2006/relationships/hyperlink" Target="https://www.diodes.com/assets/Datasheets/DMC2053UFDBQ.pdf" TargetMode="External"/><Relationship Id="rId_hyperlink_137" Type="http://schemas.openxmlformats.org/officeDocument/2006/relationships/hyperlink" Target="https://www.diodes.com/part/view/DMC2053UVT" TargetMode="External"/><Relationship Id="rId_hyperlink_138" Type="http://schemas.openxmlformats.org/officeDocument/2006/relationships/hyperlink" Target="https://www.diodes.com/assets/Datasheets/DMC2053UVT.pdf" TargetMode="External"/><Relationship Id="rId_hyperlink_139" Type="http://schemas.openxmlformats.org/officeDocument/2006/relationships/hyperlink" Target="https://www.diodes.com/part/view/DMC2053UVTQ" TargetMode="External"/><Relationship Id="rId_hyperlink_140" Type="http://schemas.openxmlformats.org/officeDocument/2006/relationships/hyperlink" Target="https://www.diodes.com/assets/Datasheets/DMC2053UVTQ.pdf" TargetMode="External"/><Relationship Id="rId_hyperlink_141" Type="http://schemas.openxmlformats.org/officeDocument/2006/relationships/hyperlink" Target="https://www.diodes.com/part/view/DMC2057UVT" TargetMode="External"/><Relationship Id="rId_hyperlink_142" Type="http://schemas.openxmlformats.org/officeDocument/2006/relationships/hyperlink" Target="https://www.diodes.com/assets/Datasheets/DMC2057UVT.pdf" TargetMode="External"/><Relationship Id="rId_hyperlink_143" Type="http://schemas.openxmlformats.org/officeDocument/2006/relationships/hyperlink" Target="https://www.diodes.com/part/view/DMC21D1UDA" TargetMode="External"/><Relationship Id="rId_hyperlink_144" Type="http://schemas.openxmlformats.org/officeDocument/2006/relationships/hyperlink" Target="https://www.diodes.com/assets/Datasheets/DMC21D1UDA.pdf" TargetMode="External"/><Relationship Id="rId_hyperlink_145" Type="http://schemas.openxmlformats.org/officeDocument/2006/relationships/hyperlink" Target="https://www.diodes.com/part/view/DMC2400UV" TargetMode="External"/><Relationship Id="rId_hyperlink_146" Type="http://schemas.openxmlformats.org/officeDocument/2006/relationships/hyperlink" Target="https://www.diodes.com/assets/Datasheets/DMC2400UV.pdf" TargetMode="External"/><Relationship Id="rId_hyperlink_147" Type="http://schemas.openxmlformats.org/officeDocument/2006/relationships/hyperlink" Target="https://www.diodes.com/part/view/DMC2400UVQ" TargetMode="External"/><Relationship Id="rId_hyperlink_148" Type="http://schemas.openxmlformats.org/officeDocument/2006/relationships/hyperlink" Target="https://www.diodes.com/assets/Datasheets/DMC2400UVQ.pdf" TargetMode="External"/><Relationship Id="rId_hyperlink_149" Type="http://schemas.openxmlformats.org/officeDocument/2006/relationships/hyperlink" Target="https://www.diodes.com/part/view/DMC2450UV" TargetMode="External"/><Relationship Id="rId_hyperlink_150" Type="http://schemas.openxmlformats.org/officeDocument/2006/relationships/hyperlink" Target="https://www.diodes.com/assets/Datasheets/DMC2450UV.pdf" TargetMode="External"/><Relationship Id="rId_hyperlink_151" Type="http://schemas.openxmlformats.org/officeDocument/2006/relationships/hyperlink" Target="https://www.diodes.com/part/view/DMC25D0UVT" TargetMode="External"/><Relationship Id="rId_hyperlink_152" Type="http://schemas.openxmlformats.org/officeDocument/2006/relationships/hyperlink" Target="https://www.diodes.com/assets/Datasheets/DMC25D0UVT.pdf" TargetMode="External"/><Relationship Id="rId_hyperlink_153" Type="http://schemas.openxmlformats.org/officeDocument/2006/relationships/hyperlink" Target="https://www.diodes.com/part/view/DMC25D1UVT" TargetMode="External"/><Relationship Id="rId_hyperlink_154" Type="http://schemas.openxmlformats.org/officeDocument/2006/relationships/hyperlink" Target="https://www.diodes.com/assets/Datasheets/DMC25D1UVT.pdf" TargetMode="External"/><Relationship Id="rId_hyperlink_155" Type="http://schemas.openxmlformats.org/officeDocument/2006/relationships/hyperlink" Target="https://www.diodes.com/part/view/DMC2700UDM" TargetMode="External"/><Relationship Id="rId_hyperlink_156" Type="http://schemas.openxmlformats.org/officeDocument/2006/relationships/hyperlink" Target="https://www.diodes.com/assets/Datasheets/DMC2700UDM.pdf" TargetMode="External"/><Relationship Id="rId_hyperlink_157" Type="http://schemas.openxmlformats.org/officeDocument/2006/relationships/hyperlink" Target="https://www.diodes.com/part/view/DMC2710UDW" TargetMode="External"/><Relationship Id="rId_hyperlink_158" Type="http://schemas.openxmlformats.org/officeDocument/2006/relationships/hyperlink" Target="https://www.diodes.com/assets/Datasheets/DMC2710UDW.pdf" TargetMode="External"/><Relationship Id="rId_hyperlink_159" Type="http://schemas.openxmlformats.org/officeDocument/2006/relationships/hyperlink" Target="https://www.diodes.com/part/view/DMC2710UDWQ" TargetMode="External"/><Relationship Id="rId_hyperlink_160" Type="http://schemas.openxmlformats.org/officeDocument/2006/relationships/hyperlink" Target="https://www.diodes.com/assets/Datasheets/DMC2710UDWQ.pdf" TargetMode="External"/><Relationship Id="rId_hyperlink_161" Type="http://schemas.openxmlformats.org/officeDocument/2006/relationships/hyperlink" Target="https://www.diodes.com/part/view/DMC2710UV" TargetMode="External"/><Relationship Id="rId_hyperlink_162" Type="http://schemas.openxmlformats.org/officeDocument/2006/relationships/hyperlink" Target="https://www.diodes.com/assets/Datasheets/DMC2710UV.pdf" TargetMode="External"/><Relationship Id="rId_hyperlink_163" Type="http://schemas.openxmlformats.org/officeDocument/2006/relationships/hyperlink" Target="https://www.diodes.com/part/view/DMC2710UVQ" TargetMode="External"/><Relationship Id="rId_hyperlink_164" Type="http://schemas.openxmlformats.org/officeDocument/2006/relationships/hyperlink" Target="https://www.diodes.com/assets/Datasheets/DMC2710UVQ.pdf" TargetMode="External"/><Relationship Id="rId_hyperlink_165" Type="http://schemas.openxmlformats.org/officeDocument/2006/relationships/hyperlink" Target="https://www.diodes.com/part/view/DMC2710UVT" TargetMode="External"/><Relationship Id="rId_hyperlink_166" Type="http://schemas.openxmlformats.org/officeDocument/2006/relationships/hyperlink" Target="https://www.diodes.com/assets/Datasheets/DMC2710UVT.pdf" TargetMode="External"/><Relationship Id="rId_hyperlink_167" Type="http://schemas.openxmlformats.org/officeDocument/2006/relationships/hyperlink" Target="https://www.diodes.com/part/view/DMC2990UDJ" TargetMode="External"/><Relationship Id="rId_hyperlink_168" Type="http://schemas.openxmlformats.org/officeDocument/2006/relationships/hyperlink" Target="https://www.diodes.com/assets/Datasheets/DMC2990UDJ.pdf" TargetMode="External"/><Relationship Id="rId_hyperlink_169" Type="http://schemas.openxmlformats.org/officeDocument/2006/relationships/hyperlink" Target="https://www.diodes.com/part/view/DMC2990UDJQ" TargetMode="External"/><Relationship Id="rId_hyperlink_170" Type="http://schemas.openxmlformats.org/officeDocument/2006/relationships/hyperlink" Target="https://www.diodes.com/assets/Datasheets/DMC2990UDJQ.pdf" TargetMode="External"/><Relationship Id="rId_hyperlink_171" Type="http://schemas.openxmlformats.org/officeDocument/2006/relationships/hyperlink" Target="https://www.diodes.com/part/view/DMC2991UDA" TargetMode="External"/><Relationship Id="rId_hyperlink_172" Type="http://schemas.openxmlformats.org/officeDocument/2006/relationships/hyperlink" Target="https://www.diodes.com/assets/Datasheets/DMC2991UDA.pdf" TargetMode="External"/><Relationship Id="rId_hyperlink_173" Type="http://schemas.openxmlformats.org/officeDocument/2006/relationships/hyperlink" Target="https://www.diodes.com/part/view/DMC2991UDJ" TargetMode="External"/><Relationship Id="rId_hyperlink_174" Type="http://schemas.openxmlformats.org/officeDocument/2006/relationships/hyperlink" Target="https://www.diodes.com/assets/Datasheets/DMC2991UDJ.pdf" TargetMode="External"/><Relationship Id="rId_hyperlink_175" Type="http://schemas.openxmlformats.org/officeDocument/2006/relationships/hyperlink" Target="https://www.diodes.com/part/view/DMC2991UDR4" TargetMode="External"/><Relationship Id="rId_hyperlink_176" Type="http://schemas.openxmlformats.org/officeDocument/2006/relationships/hyperlink" Target="https://www.diodes.com/assets/Datasheets/DMC2991UDR4.pdf" TargetMode="External"/><Relationship Id="rId_hyperlink_177" Type="http://schemas.openxmlformats.org/officeDocument/2006/relationships/hyperlink" Target="https://www.diodes.com/part/view/DMC3016LDV" TargetMode="External"/><Relationship Id="rId_hyperlink_178" Type="http://schemas.openxmlformats.org/officeDocument/2006/relationships/hyperlink" Target="https://www.diodes.com/assets/Datasheets/DMC3016LDV.pdf" TargetMode="External"/><Relationship Id="rId_hyperlink_179" Type="http://schemas.openxmlformats.org/officeDocument/2006/relationships/hyperlink" Target="https://www.diodes.com/part/view/DMC3016LNS" TargetMode="External"/><Relationship Id="rId_hyperlink_180" Type="http://schemas.openxmlformats.org/officeDocument/2006/relationships/hyperlink" Target="https://www.diodes.com/assets/Datasheets/DMC3016LNS.pdf" TargetMode="External"/><Relationship Id="rId_hyperlink_181" Type="http://schemas.openxmlformats.org/officeDocument/2006/relationships/hyperlink" Target="https://www.diodes.com/part/view/DMC3016LSD" TargetMode="External"/><Relationship Id="rId_hyperlink_182" Type="http://schemas.openxmlformats.org/officeDocument/2006/relationships/hyperlink" Target="https://www.diodes.com/assets/Datasheets/DMC3016LSD.pdf" TargetMode="External"/><Relationship Id="rId_hyperlink_183" Type="http://schemas.openxmlformats.org/officeDocument/2006/relationships/hyperlink" Target="https://www.diodes.com/part/view/DMC3020UDVW" TargetMode="External"/><Relationship Id="rId_hyperlink_184" Type="http://schemas.openxmlformats.org/officeDocument/2006/relationships/hyperlink" Target="https://www.diodes.com/assets/Datasheets/DMC3020UDVW.pdf" TargetMode="External"/><Relationship Id="rId_hyperlink_185" Type="http://schemas.openxmlformats.org/officeDocument/2006/relationships/hyperlink" Target="https://www.diodes.com/part/view/DMC3021LSD" TargetMode="External"/><Relationship Id="rId_hyperlink_186" Type="http://schemas.openxmlformats.org/officeDocument/2006/relationships/hyperlink" Target="https://www.diodes.com/assets/Datasheets/ds32152.pdf" TargetMode="External"/><Relationship Id="rId_hyperlink_187" Type="http://schemas.openxmlformats.org/officeDocument/2006/relationships/hyperlink" Target="https://www.diodes.com/part/view/DMC3021LSDQ" TargetMode="External"/><Relationship Id="rId_hyperlink_188" Type="http://schemas.openxmlformats.org/officeDocument/2006/relationships/hyperlink" Target="https://www.diodes.com/assets/Datasheets/DMC3021LSDQ.pdf" TargetMode="External"/><Relationship Id="rId_hyperlink_189" Type="http://schemas.openxmlformats.org/officeDocument/2006/relationships/hyperlink" Target="https://www.diodes.com/part/view/DMC3025LDV" TargetMode="External"/><Relationship Id="rId_hyperlink_190" Type="http://schemas.openxmlformats.org/officeDocument/2006/relationships/hyperlink" Target="https://www.diodes.com/assets/Datasheets/DMC3025LDV.pdf" TargetMode="External"/><Relationship Id="rId_hyperlink_191" Type="http://schemas.openxmlformats.org/officeDocument/2006/relationships/hyperlink" Target="https://www.diodes.com/part/view/DMC3025LNS" TargetMode="External"/><Relationship Id="rId_hyperlink_192" Type="http://schemas.openxmlformats.org/officeDocument/2006/relationships/hyperlink" Target="https://www.diodes.com/assets/Datasheets/DMC3025LNS.pdf" TargetMode="External"/><Relationship Id="rId_hyperlink_193" Type="http://schemas.openxmlformats.org/officeDocument/2006/relationships/hyperlink" Target="https://www.diodes.com/part/view/DMC3025LSD" TargetMode="External"/><Relationship Id="rId_hyperlink_194" Type="http://schemas.openxmlformats.org/officeDocument/2006/relationships/hyperlink" Target="https://www.diodes.com/assets/Datasheets/DMC3025LSD.pdf" TargetMode="External"/><Relationship Id="rId_hyperlink_195" Type="http://schemas.openxmlformats.org/officeDocument/2006/relationships/hyperlink" Target="https://www.diodes.com/part/view/DMC3025LSDQ" TargetMode="External"/><Relationship Id="rId_hyperlink_196" Type="http://schemas.openxmlformats.org/officeDocument/2006/relationships/hyperlink" Target="https://www.diodes.com/assets/Datasheets/DMC3025LSDQ.pdf" TargetMode="External"/><Relationship Id="rId_hyperlink_197" Type="http://schemas.openxmlformats.org/officeDocument/2006/relationships/hyperlink" Target="https://www.diodes.com/part/view/DMC3026LSD" TargetMode="External"/><Relationship Id="rId_hyperlink_198" Type="http://schemas.openxmlformats.org/officeDocument/2006/relationships/hyperlink" Target="https://www.diodes.com/assets/Datasheets/DMC3026LSD.pdf" TargetMode="External"/><Relationship Id="rId_hyperlink_199" Type="http://schemas.openxmlformats.org/officeDocument/2006/relationships/hyperlink" Target="https://www.diodes.com/part/view/DMC3028LSD" TargetMode="External"/><Relationship Id="rId_hyperlink_200" Type="http://schemas.openxmlformats.org/officeDocument/2006/relationships/hyperlink" Target="https://www.diodes.com/assets/Datasheets/DMC3028LSD.pdf" TargetMode="External"/><Relationship Id="rId_hyperlink_201" Type="http://schemas.openxmlformats.org/officeDocument/2006/relationships/hyperlink" Target="https://www.diodes.com/part/view/DMC3028LSDX" TargetMode="External"/><Relationship Id="rId_hyperlink_202" Type="http://schemas.openxmlformats.org/officeDocument/2006/relationships/hyperlink" Target="https://www.diodes.com/assets/Datasheets/DMC3028LSDX.pdf" TargetMode="External"/><Relationship Id="rId_hyperlink_203" Type="http://schemas.openxmlformats.org/officeDocument/2006/relationships/hyperlink" Target="https://www.diodes.com/part/view/DMC3028LSDXQ" TargetMode="External"/><Relationship Id="rId_hyperlink_204" Type="http://schemas.openxmlformats.org/officeDocument/2006/relationships/hyperlink" Target="https://www.diodes.com/assets/Datasheets/DMC3028LSDXQ.pdf" TargetMode="External"/><Relationship Id="rId_hyperlink_205" Type="http://schemas.openxmlformats.org/officeDocument/2006/relationships/hyperlink" Target="https://www.diodes.com/part/view/DMC3032LFDB" TargetMode="External"/><Relationship Id="rId_hyperlink_206" Type="http://schemas.openxmlformats.org/officeDocument/2006/relationships/hyperlink" Target="https://www.diodes.com/assets/Datasheets/DMC3032LFDB.pdf" TargetMode="External"/><Relationship Id="rId_hyperlink_207" Type="http://schemas.openxmlformats.org/officeDocument/2006/relationships/hyperlink" Target="https://www.diodes.com/part/view/DMC3032LSD" TargetMode="External"/><Relationship Id="rId_hyperlink_208" Type="http://schemas.openxmlformats.org/officeDocument/2006/relationships/hyperlink" Target="https://www.diodes.com/assets/Datasheets/ds32153.pdf" TargetMode="External"/><Relationship Id="rId_hyperlink_209" Type="http://schemas.openxmlformats.org/officeDocument/2006/relationships/hyperlink" Target="https://www.diodes.com/part/view/DMC3060LVT" TargetMode="External"/><Relationship Id="rId_hyperlink_210" Type="http://schemas.openxmlformats.org/officeDocument/2006/relationships/hyperlink" Target="https://www.diodes.com/assets/Datasheets/DMC3060LVT.pdf" TargetMode="External"/><Relationship Id="rId_hyperlink_211" Type="http://schemas.openxmlformats.org/officeDocument/2006/relationships/hyperlink" Target="https://www.diodes.com/part/view/DMC3060LVTQ" TargetMode="External"/><Relationship Id="rId_hyperlink_212" Type="http://schemas.openxmlformats.org/officeDocument/2006/relationships/hyperlink" Target="https://www.diodes.com/assets/Datasheets/DMC3060LVTQ.pdf" TargetMode="External"/><Relationship Id="rId_hyperlink_213" Type="http://schemas.openxmlformats.org/officeDocument/2006/relationships/hyperlink" Target="https://www.diodes.com/part/view/DMC3061SVTQ" TargetMode="External"/><Relationship Id="rId_hyperlink_214" Type="http://schemas.openxmlformats.org/officeDocument/2006/relationships/hyperlink" Target="https://www.diodes.com/assets/Datasheets/DMC3061SVTQ.pdf" TargetMode="External"/><Relationship Id="rId_hyperlink_215" Type="http://schemas.openxmlformats.org/officeDocument/2006/relationships/hyperlink" Target="https://www.diodes.com/part/view/DMC3071LVT" TargetMode="External"/><Relationship Id="rId_hyperlink_216" Type="http://schemas.openxmlformats.org/officeDocument/2006/relationships/hyperlink" Target="https://www.diodes.com/assets/Datasheets/DMC3071LVT.pdf" TargetMode="External"/><Relationship Id="rId_hyperlink_217" Type="http://schemas.openxmlformats.org/officeDocument/2006/relationships/hyperlink" Target="https://www.diodes.com/part/view/DMC31D5UDA" TargetMode="External"/><Relationship Id="rId_hyperlink_218" Type="http://schemas.openxmlformats.org/officeDocument/2006/relationships/hyperlink" Target="https://www.diodes.com/assets/Datasheets/DMC31D5UDA.pdf" TargetMode="External"/><Relationship Id="rId_hyperlink_219" Type="http://schemas.openxmlformats.org/officeDocument/2006/relationships/hyperlink" Target="https://www.diodes.com/part/view/DMC31D5UDAQ" TargetMode="External"/><Relationship Id="rId_hyperlink_220" Type="http://schemas.openxmlformats.org/officeDocument/2006/relationships/hyperlink" Target="https://www.diodes.com/assets/Datasheets/DMC31D5UDAQ.pdf" TargetMode="External"/><Relationship Id="rId_hyperlink_221" Type="http://schemas.openxmlformats.org/officeDocument/2006/relationships/hyperlink" Target="https://www.diodes.com/part/view/DMC31D5UDJ" TargetMode="External"/><Relationship Id="rId_hyperlink_222" Type="http://schemas.openxmlformats.org/officeDocument/2006/relationships/hyperlink" Target="https://www.diodes.com/assets/Datasheets/DMC31D5UDJ.pdf" TargetMode="External"/><Relationship Id="rId_hyperlink_223" Type="http://schemas.openxmlformats.org/officeDocument/2006/relationships/hyperlink" Target="https://www.diodes.com/part/view/DMC3350LDW" TargetMode="External"/><Relationship Id="rId_hyperlink_224" Type="http://schemas.openxmlformats.org/officeDocument/2006/relationships/hyperlink" Target="https://www.diodes.com/assets/Datasheets/DMC3350LDW.pdf" TargetMode="External"/><Relationship Id="rId_hyperlink_225" Type="http://schemas.openxmlformats.org/officeDocument/2006/relationships/hyperlink" Target="https://www.diodes.com/part/view/DMC3350LDWQ" TargetMode="External"/><Relationship Id="rId_hyperlink_226" Type="http://schemas.openxmlformats.org/officeDocument/2006/relationships/hyperlink" Target="https://www.diodes.com/assets/Datasheets/DMC3350LDWQ.pdf" TargetMode="External"/><Relationship Id="rId_hyperlink_227" Type="http://schemas.openxmlformats.org/officeDocument/2006/relationships/hyperlink" Target="https://www.diodes.com/part/view/DMC3400SDW" TargetMode="External"/><Relationship Id="rId_hyperlink_228" Type="http://schemas.openxmlformats.org/officeDocument/2006/relationships/hyperlink" Target="https://www.diodes.com/assets/Datasheets/DMC3400SDW.pdf" TargetMode="External"/><Relationship Id="rId_hyperlink_229" Type="http://schemas.openxmlformats.org/officeDocument/2006/relationships/hyperlink" Target="https://www.diodes.com/part/view/DMC3401LDW" TargetMode="External"/><Relationship Id="rId_hyperlink_230" Type="http://schemas.openxmlformats.org/officeDocument/2006/relationships/hyperlink" Target="https://www.diodes.com/assets/Datasheets/DMC3401LDW.pdf" TargetMode="External"/><Relationship Id="rId_hyperlink_231" Type="http://schemas.openxmlformats.org/officeDocument/2006/relationships/hyperlink" Target="https://www.diodes.com/part/view/DMC3730UFL3" TargetMode="External"/><Relationship Id="rId_hyperlink_232" Type="http://schemas.openxmlformats.org/officeDocument/2006/relationships/hyperlink" Target="https://www.diodes.com/assets/Datasheets/DMC3730UFL3.pdf" TargetMode="External"/><Relationship Id="rId_hyperlink_233" Type="http://schemas.openxmlformats.org/officeDocument/2006/relationships/hyperlink" Target="https://www.diodes.com/part/view/DMC3730UVT" TargetMode="External"/><Relationship Id="rId_hyperlink_234" Type="http://schemas.openxmlformats.org/officeDocument/2006/relationships/hyperlink" Target="https://www.diodes.com/assets/Datasheets/DMC3730UVT.pdf" TargetMode="External"/><Relationship Id="rId_hyperlink_235" Type="http://schemas.openxmlformats.org/officeDocument/2006/relationships/hyperlink" Target="https://www.diodes.com/part/view/DMC3732UVT" TargetMode="External"/><Relationship Id="rId_hyperlink_236" Type="http://schemas.openxmlformats.org/officeDocument/2006/relationships/hyperlink" Target="https://www.diodes.com/assets/Datasheets/DMC3732UVT.pdf" TargetMode="External"/><Relationship Id="rId_hyperlink_237" Type="http://schemas.openxmlformats.org/officeDocument/2006/relationships/hyperlink" Target="https://www.diodes.com/part/view/DMC3732UVTQ" TargetMode="External"/><Relationship Id="rId_hyperlink_238" Type="http://schemas.openxmlformats.org/officeDocument/2006/relationships/hyperlink" Target="https://www.diodes.com/assets/Datasheets/DMC3732UVTQ.pdf" TargetMode="External"/><Relationship Id="rId_hyperlink_239" Type="http://schemas.openxmlformats.org/officeDocument/2006/relationships/hyperlink" Target="https://www.diodes.com/part/view/DMC4015SSD" TargetMode="External"/><Relationship Id="rId_hyperlink_240" Type="http://schemas.openxmlformats.org/officeDocument/2006/relationships/hyperlink" Target="https://www.diodes.com/assets/Datasheets/DMC4015SSD.pdf" TargetMode="External"/><Relationship Id="rId_hyperlink_241" Type="http://schemas.openxmlformats.org/officeDocument/2006/relationships/hyperlink" Target="https://www.diodes.com/part/view/DMC4028SSD" TargetMode="External"/><Relationship Id="rId_hyperlink_242" Type="http://schemas.openxmlformats.org/officeDocument/2006/relationships/hyperlink" Target="https://www.diodes.com/assets/Datasheets/DMC4028SSD.pdf" TargetMode="External"/><Relationship Id="rId_hyperlink_243" Type="http://schemas.openxmlformats.org/officeDocument/2006/relationships/hyperlink" Target="https://www.diodes.com/part/view/DMC4029SK4" TargetMode="External"/><Relationship Id="rId_hyperlink_244" Type="http://schemas.openxmlformats.org/officeDocument/2006/relationships/hyperlink" Target="https://www.diodes.com/assets/Datasheets/DMC4029SK4.pdf" TargetMode="External"/><Relationship Id="rId_hyperlink_245" Type="http://schemas.openxmlformats.org/officeDocument/2006/relationships/hyperlink" Target="https://www.diodes.com/part/view/DMC4029SSD" TargetMode="External"/><Relationship Id="rId_hyperlink_246" Type="http://schemas.openxmlformats.org/officeDocument/2006/relationships/hyperlink" Target="https://www.diodes.com/assets/Datasheets/DMC4029SSD.pdf" TargetMode="External"/><Relationship Id="rId_hyperlink_247" Type="http://schemas.openxmlformats.org/officeDocument/2006/relationships/hyperlink" Target="https://www.diodes.com/part/view/DMC4040SSDQ" TargetMode="External"/><Relationship Id="rId_hyperlink_248" Type="http://schemas.openxmlformats.org/officeDocument/2006/relationships/hyperlink" Target="https://www.diodes.com/assets/Datasheets/products_inactive_data/DMC4040SSDQ.pdf" TargetMode="External"/><Relationship Id="rId_hyperlink_249" Type="http://schemas.openxmlformats.org/officeDocument/2006/relationships/hyperlink" Target="https://www.diodes.com/part/view/DMC4047LSD" TargetMode="External"/><Relationship Id="rId_hyperlink_250" Type="http://schemas.openxmlformats.org/officeDocument/2006/relationships/hyperlink" Target="https://www.diodes.com/assets/Datasheets/DMC4047LSD.pdf" TargetMode="External"/><Relationship Id="rId_hyperlink_251" Type="http://schemas.openxmlformats.org/officeDocument/2006/relationships/hyperlink" Target="https://www.diodes.com/part/view/DMC4050SSDQ" TargetMode="External"/><Relationship Id="rId_hyperlink_252" Type="http://schemas.openxmlformats.org/officeDocument/2006/relationships/hyperlink" Target="https://www.diodes.com/assets/Datasheets/DMC4050SSDQ.pdf" TargetMode="External"/><Relationship Id="rId_hyperlink_253" Type="http://schemas.openxmlformats.org/officeDocument/2006/relationships/hyperlink" Target="https://www.diodes.com/part/view/DMC6022SSD" TargetMode="External"/><Relationship Id="rId_hyperlink_254" Type="http://schemas.openxmlformats.org/officeDocument/2006/relationships/hyperlink" Target="https://www.diodes.com/assets/Datasheets/DMC6022SSD.pdf" TargetMode="External"/><Relationship Id="rId_hyperlink_255" Type="http://schemas.openxmlformats.org/officeDocument/2006/relationships/hyperlink" Target="https://www.diodes.com/part/view/DMC6040SSD" TargetMode="External"/><Relationship Id="rId_hyperlink_256" Type="http://schemas.openxmlformats.org/officeDocument/2006/relationships/hyperlink" Target="https://www.diodes.com/assets/Datasheets/DMC6040SSD.pdf" TargetMode="External"/><Relationship Id="rId_hyperlink_257" Type="http://schemas.openxmlformats.org/officeDocument/2006/relationships/hyperlink" Target="https://www.diodes.com/part/view/DMC6040SSDQ" TargetMode="External"/><Relationship Id="rId_hyperlink_258" Type="http://schemas.openxmlformats.org/officeDocument/2006/relationships/hyperlink" Target="https://www.diodes.com/assets/Datasheets/DMC6040SSDQ.pdf" TargetMode="External"/><Relationship Id="rId_hyperlink_259" Type="http://schemas.openxmlformats.org/officeDocument/2006/relationships/hyperlink" Target="https://www.diodes.com/part/view/DMC6070LND" TargetMode="External"/><Relationship Id="rId_hyperlink_260" Type="http://schemas.openxmlformats.org/officeDocument/2006/relationships/hyperlink" Target="https://www.diodes.com/assets/Datasheets/DMC6070LND.pdf" TargetMode="External"/><Relationship Id="rId_hyperlink_261" Type="http://schemas.openxmlformats.org/officeDocument/2006/relationships/hyperlink" Target="https://www.diodes.com/part/view/DMC62D0SVQ" TargetMode="External"/><Relationship Id="rId_hyperlink_262" Type="http://schemas.openxmlformats.org/officeDocument/2006/relationships/hyperlink" Target="https://www.diodes.com/assets/Datasheets/products_inactive_data/DMC62D0SVQ.pdf" TargetMode="External"/><Relationship Id="rId_hyperlink_263" Type="http://schemas.openxmlformats.org/officeDocument/2006/relationships/hyperlink" Target="https://www.diodes.com/part/view/DMC62D2SV" TargetMode="External"/><Relationship Id="rId_hyperlink_264" Type="http://schemas.openxmlformats.org/officeDocument/2006/relationships/hyperlink" Target="https://www.diodes.com/assets/Datasheets/DMC62D2SV.pdf" TargetMode="External"/><Relationship Id="rId_hyperlink_265" Type="http://schemas.openxmlformats.org/officeDocument/2006/relationships/hyperlink" Target="https://www.diodes.com/part/view/DMC62D2SVQ" TargetMode="External"/><Relationship Id="rId_hyperlink_266" Type="http://schemas.openxmlformats.org/officeDocument/2006/relationships/hyperlink" Target="https://www.diodes.com/assets/Datasheets/DMC62D2SVQ.pdf" TargetMode="External"/><Relationship Id="rId_hyperlink_267" Type="http://schemas.openxmlformats.org/officeDocument/2006/relationships/hyperlink" Target="https://www.diodes.com/part/view/DMC67D8UFDBQ" TargetMode="External"/><Relationship Id="rId_hyperlink_268" Type="http://schemas.openxmlformats.org/officeDocument/2006/relationships/hyperlink" Target="https://www.diodes.com/assets/Datasheets/DMC67D8UFDBQ.pdf" TargetMode="External"/><Relationship Id="rId_hyperlink_269" Type="http://schemas.openxmlformats.org/officeDocument/2006/relationships/hyperlink" Target="https://www.diodes.com/part/view/DMG1012T" TargetMode="External"/><Relationship Id="rId_hyperlink_270" Type="http://schemas.openxmlformats.org/officeDocument/2006/relationships/hyperlink" Target="https://www.diodes.com/assets/Datasheets/DMG1012T.pdf" TargetMode="External"/><Relationship Id="rId_hyperlink_271" Type="http://schemas.openxmlformats.org/officeDocument/2006/relationships/hyperlink" Target="https://www.diodes.com/part/view/DMG1012UW" TargetMode="External"/><Relationship Id="rId_hyperlink_272" Type="http://schemas.openxmlformats.org/officeDocument/2006/relationships/hyperlink" Target="https://www.diodes.com/assets/Datasheets/DMG1012UW.pdf" TargetMode="External"/><Relationship Id="rId_hyperlink_273" Type="http://schemas.openxmlformats.org/officeDocument/2006/relationships/hyperlink" Target="https://www.diodes.com/part/view/DMG1012UWQ" TargetMode="External"/><Relationship Id="rId_hyperlink_274" Type="http://schemas.openxmlformats.org/officeDocument/2006/relationships/hyperlink" Target="https://www.diodes.com/assets/Datasheets/DMG1012UWQ.pdf" TargetMode="External"/><Relationship Id="rId_hyperlink_275" Type="http://schemas.openxmlformats.org/officeDocument/2006/relationships/hyperlink" Target="https://www.diodes.com/part/view/DMG1013T" TargetMode="External"/><Relationship Id="rId_hyperlink_276" Type="http://schemas.openxmlformats.org/officeDocument/2006/relationships/hyperlink" Target="https://www.diodes.com/assets/Datasheets/ds31784.pdf" TargetMode="External"/><Relationship Id="rId_hyperlink_277" Type="http://schemas.openxmlformats.org/officeDocument/2006/relationships/hyperlink" Target="https://www.diodes.com/part/view/DMG1013TQ" TargetMode="External"/><Relationship Id="rId_hyperlink_278" Type="http://schemas.openxmlformats.org/officeDocument/2006/relationships/hyperlink" Target="https://www.diodes.com/assets/Datasheets/DMG1013TQ.pdf" TargetMode="External"/><Relationship Id="rId_hyperlink_279" Type="http://schemas.openxmlformats.org/officeDocument/2006/relationships/hyperlink" Target="https://www.diodes.com/part/view/DMG1013UW" TargetMode="External"/><Relationship Id="rId_hyperlink_280" Type="http://schemas.openxmlformats.org/officeDocument/2006/relationships/hyperlink" Target="https://www.diodes.com/assets/Datasheets/ds31861.pdf" TargetMode="External"/><Relationship Id="rId_hyperlink_281" Type="http://schemas.openxmlformats.org/officeDocument/2006/relationships/hyperlink" Target="https://www.diodes.com/part/view/DMG1013UWQ" TargetMode="External"/><Relationship Id="rId_hyperlink_282" Type="http://schemas.openxmlformats.org/officeDocument/2006/relationships/hyperlink" Target="https://www.diodes.com/assets/Datasheets/DMG1013UWQ.pdf" TargetMode="External"/><Relationship Id="rId_hyperlink_283" Type="http://schemas.openxmlformats.org/officeDocument/2006/relationships/hyperlink" Target="https://www.diodes.com/part/view/DMG1016UDW" TargetMode="External"/><Relationship Id="rId_hyperlink_284" Type="http://schemas.openxmlformats.org/officeDocument/2006/relationships/hyperlink" Target="https://www.diodes.com/assets/Datasheets/DMG1016UDW.pdf" TargetMode="External"/><Relationship Id="rId_hyperlink_285" Type="http://schemas.openxmlformats.org/officeDocument/2006/relationships/hyperlink" Target="https://www.diodes.com/part/view/DMG1016V" TargetMode="External"/><Relationship Id="rId_hyperlink_286" Type="http://schemas.openxmlformats.org/officeDocument/2006/relationships/hyperlink" Target="https://www.diodes.com/assets/Datasheets/DMG1016V.pdf" TargetMode="External"/><Relationship Id="rId_hyperlink_287" Type="http://schemas.openxmlformats.org/officeDocument/2006/relationships/hyperlink" Target="https://www.diodes.com/part/view/DMG1023UV" TargetMode="External"/><Relationship Id="rId_hyperlink_288" Type="http://schemas.openxmlformats.org/officeDocument/2006/relationships/hyperlink" Target="https://www.diodes.com/assets/Datasheets/ds31975.pdf" TargetMode="External"/><Relationship Id="rId_hyperlink_289" Type="http://schemas.openxmlformats.org/officeDocument/2006/relationships/hyperlink" Target="https://www.diodes.com/part/view/DMG1023UVQ" TargetMode="External"/><Relationship Id="rId_hyperlink_290" Type="http://schemas.openxmlformats.org/officeDocument/2006/relationships/hyperlink" Target="https://www.diodes.com/assets/Datasheets/DMG1023UVQ.pdf" TargetMode="External"/><Relationship Id="rId_hyperlink_291" Type="http://schemas.openxmlformats.org/officeDocument/2006/relationships/hyperlink" Target="https://www.diodes.com/part/view/DMG1024UV" TargetMode="External"/><Relationship Id="rId_hyperlink_292" Type="http://schemas.openxmlformats.org/officeDocument/2006/relationships/hyperlink" Target="https://www.diodes.com/assets/Datasheets/ds31974.pdf" TargetMode="External"/><Relationship Id="rId_hyperlink_293" Type="http://schemas.openxmlformats.org/officeDocument/2006/relationships/hyperlink" Target="https://www.diodes.com/part/view/DMG1026UVQ" TargetMode="External"/><Relationship Id="rId_hyperlink_294" Type="http://schemas.openxmlformats.org/officeDocument/2006/relationships/hyperlink" Target="https://www.diodes.com/assets/Datasheets/DMG1026UVQ.pdf" TargetMode="External"/><Relationship Id="rId_hyperlink_295" Type="http://schemas.openxmlformats.org/officeDocument/2006/relationships/hyperlink" Target="https://www.diodes.com/part/view/DMG1029SVQ" TargetMode="External"/><Relationship Id="rId_hyperlink_296" Type="http://schemas.openxmlformats.org/officeDocument/2006/relationships/hyperlink" Target="https://www.diodes.com/assets/Datasheets/DMG1029SVQ.pdf" TargetMode="External"/><Relationship Id="rId_hyperlink_297" Type="http://schemas.openxmlformats.org/officeDocument/2006/relationships/hyperlink" Target="https://www.diodes.com/part/view/DMG2301L" TargetMode="External"/><Relationship Id="rId_hyperlink_298" Type="http://schemas.openxmlformats.org/officeDocument/2006/relationships/hyperlink" Target="https://www.diodes.com/assets/Datasheets/DMG2301L.pdf" TargetMode="External"/><Relationship Id="rId_hyperlink_299" Type="http://schemas.openxmlformats.org/officeDocument/2006/relationships/hyperlink" Target="https://www.diodes.com/part/view/DMG2301LK" TargetMode="External"/><Relationship Id="rId_hyperlink_300" Type="http://schemas.openxmlformats.org/officeDocument/2006/relationships/hyperlink" Target="https://www.diodes.com/assets/Datasheets/DMG2301LK.pdf" TargetMode="External"/><Relationship Id="rId_hyperlink_301" Type="http://schemas.openxmlformats.org/officeDocument/2006/relationships/hyperlink" Target="https://www.diodes.com/part/view/DMG2301U" TargetMode="External"/><Relationship Id="rId_hyperlink_302" Type="http://schemas.openxmlformats.org/officeDocument/2006/relationships/hyperlink" Target="https://www.diodes.com/assets/Datasheets/ds31848.pdf" TargetMode="External"/><Relationship Id="rId_hyperlink_303" Type="http://schemas.openxmlformats.org/officeDocument/2006/relationships/hyperlink" Target="https://www.diodes.com/part/view/DMG2302UK" TargetMode="External"/><Relationship Id="rId_hyperlink_304" Type="http://schemas.openxmlformats.org/officeDocument/2006/relationships/hyperlink" Target="https://www.diodes.com/assets/Datasheets/DMG2302UK.pdf" TargetMode="External"/><Relationship Id="rId_hyperlink_305" Type="http://schemas.openxmlformats.org/officeDocument/2006/relationships/hyperlink" Target="https://www.diodes.com/part/view/DMG2302UKQ" TargetMode="External"/><Relationship Id="rId_hyperlink_306" Type="http://schemas.openxmlformats.org/officeDocument/2006/relationships/hyperlink" Target="https://www.diodes.com/assets/Datasheets/DMG2302UKQ.pdf" TargetMode="External"/><Relationship Id="rId_hyperlink_307" Type="http://schemas.openxmlformats.org/officeDocument/2006/relationships/hyperlink" Target="https://www.diodes.com/part/view/DMG2305UX" TargetMode="External"/><Relationship Id="rId_hyperlink_308" Type="http://schemas.openxmlformats.org/officeDocument/2006/relationships/hyperlink" Target="https://www.diodes.com/assets/Datasheets/DMG2305UX.pdf" TargetMode="External"/><Relationship Id="rId_hyperlink_309" Type="http://schemas.openxmlformats.org/officeDocument/2006/relationships/hyperlink" Target="https://www.diodes.com/part/view/DMG2305UXQ" TargetMode="External"/><Relationship Id="rId_hyperlink_310" Type="http://schemas.openxmlformats.org/officeDocument/2006/relationships/hyperlink" Target="https://www.diodes.com/assets/Datasheets/DMG2305UXQ.pdf" TargetMode="External"/><Relationship Id="rId_hyperlink_311" Type="http://schemas.openxmlformats.org/officeDocument/2006/relationships/hyperlink" Target="https://www.diodes.com/part/view/DMG301NU" TargetMode="External"/><Relationship Id="rId_hyperlink_312" Type="http://schemas.openxmlformats.org/officeDocument/2006/relationships/hyperlink" Target="https://www.diodes.com/assets/Datasheets/DMG301NU.pdf" TargetMode="External"/><Relationship Id="rId_hyperlink_313" Type="http://schemas.openxmlformats.org/officeDocument/2006/relationships/hyperlink" Target="https://www.diodes.com/part/view/DMG302PU" TargetMode="External"/><Relationship Id="rId_hyperlink_314" Type="http://schemas.openxmlformats.org/officeDocument/2006/relationships/hyperlink" Target="https://www.diodes.com/assets/Datasheets/DMG302PU.pdf" TargetMode="External"/><Relationship Id="rId_hyperlink_315" Type="http://schemas.openxmlformats.org/officeDocument/2006/relationships/hyperlink" Target="https://www.diodes.com/part/view/DMG3401LSN" TargetMode="External"/><Relationship Id="rId_hyperlink_316" Type="http://schemas.openxmlformats.org/officeDocument/2006/relationships/hyperlink" Target="https://www.diodes.com/assets/Datasheets/DMG3401LSN.pdf" TargetMode="External"/><Relationship Id="rId_hyperlink_317" Type="http://schemas.openxmlformats.org/officeDocument/2006/relationships/hyperlink" Target="https://www.diodes.com/part/view/DMG3401LSNQ" TargetMode="External"/><Relationship Id="rId_hyperlink_318" Type="http://schemas.openxmlformats.org/officeDocument/2006/relationships/hyperlink" Target="https://www.diodes.com/assets/Datasheets/DMG3401LSNQ.pdf" TargetMode="External"/><Relationship Id="rId_hyperlink_319" Type="http://schemas.openxmlformats.org/officeDocument/2006/relationships/hyperlink" Target="https://www.diodes.com/part/view/DMG3402L" TargetMode="External"/><Relationship Id="rId_hyperlink_320" Type="http://schemas.openxmlformats.org/officeDocument/2006/relationships/hyperlink" Target="https://www.diodes.com/assets/Datasheets/DMG3402L.pdf" TargetMode="External"/><Relationship Id="rId_hyperlink_321" Type="http://schemas.openxmlformats.org/officeDocument/2006/relationships/hyperlink" Target="https://www.diodes.com/part/view/DMG3402LQ" TargetMode="External"/><Relationship Id="rId_hyperlink_322" Type="http://schemas.openxmlformats.org/officeDocument/2006/relationships/hyperlink" Target="https://www.diodes.com/assets/Datasheets/DMG3402LQ.pdf" TargetMode="External"/><Relationship Id="rId_hyperlink_323" Type="http://schemas.openxmlformats.org/officeDocument/2006/relationships/hyperlink" Target="https://www.diodes.com/part/view/DMG3404L" TargetMode="External"/><Relationship Id="rId_hyperlink_324" Type="http://schemas.openxmlformats.org/officeDocument/2006/relationships/hyperlink" Target="https://www.diodes.com/assets/Datasheets/DMG3404L.pdf" TargetMode="External"/><Relationship Id="rId_hyperlink_325" Type="http://schemas.openxmlformats.org/officeDocument/2006/relationships/hyperlink" Target="https://www.diodes.com/part/view/DMG3406L" TargetMode="External"/><Relationship Id="rId_hyperlink_326" Type="http://schemas.openxmlformats.org/officeDocument/2006/relationships/hyperlink" Target="https://www.diodes.com/assets/Datasheets/DMG3406L.pdf" TargetMode="External"/><Relationship Id="rId_hyperlink_327" Type="http://schemas.openxmlformats.org/officeDocument/2006/relationships/hyperlink" Target="https://www.diodes.com/part/view/DMG3407SSN" TargetMode="External"/><Relationship Id="rId_hyperlink_328" Type="http://schemas.openxmlformats.org/officeDocument/2006/relationships/hyperlink" Target="https://www.diodes.com/assets/Datasheets/DMG3407SSN2.pdf" TargetMode="External"/><Relationship Id="rId_hyperlink_329" Type="http://schemas.openxmlformats.org/officeDocument/2006/relationships/hyperlink" Target="https://www.diodes.com/part/view/DMG3413L" TargetMode="External"/><Relationship Id="rId_hyperlink_330" Type="http://schemas.openxmlformats.org/officeDocument/2006/relationships/hyperlink" Target="https://www.diodes.com/assets/Datasheets/DMG3413L.pdf" TargetMode="External"/><Relationship Id="rId_hyperlink_331" Type="http://schemas.openxmlformats.org/officeDocument/2006/relationships/hyperlink" Target="https://www.diodes.com/part/view/DMG3414U" TargetMode="External"/><Relationship Id="rId_hyperlink_332" Type="http://schemas.openxmlformats.org/officeDocument/2006/relationships/hyperlink" Target="https://www.diodes.com/assets/Datasheets/DMG3414U.pdf" TargetMode="External"/><Relationship Id="rId_hyperlink_333" Type="http://schemas.openxmlformats.org/officeDocument/2006/relationships/hyperlink" Target="https://www.diodes.com/part/view/DMG3414UQ" TargetMode="External"/><Relationship Id="rId_hyperlink_334" Type="http://schemas.openxmlformats.org/officeDocument/2006/relationships/hyperlink" Target="https://www.diodes.com/assets/Datasheets/DMG3414UQ.pdf" TargetMode="External"/><Relationship Id="rId_hyperlink_335" Type="http://schemas.openxmlformats.org/officeDocument/2006/relationships/hyperlink" Target="https://www.diodes.com/part/view/DMG3415UFY4Q" TargetMode="External"/><Relationship Id="rId_hyperlink_336" Type="http://schemas.openxmlformats.org/officeDocument/2006/relationships/hyperlink" Target="https://www.diodes.com/assets/Datasheets/DMG3415UFY4Q.pdf" TargetMode="External"/><Relationship Id="rId_hyperlink_337" Type="http://schemas.openxmlformats.org/officeDocument/2006/relationships/hyperlink" Target="https://www.diodes.com/part/view/DMG3418L" TargetMode="External"/><Relationship Id="rId_hyperlink_338" Type="http://schemas.openxmlformats.org/officeDocument/2006/relationships/hyperlink" Target="https://www.diodes.com/assets/Datasheets/DMG3418L.pdf" TargetMode="External"/><Relationship Id="rId_hyperlink_339" Type="http://schemas.openxmlformats.org/officeDocument/2006/relationships/hyperlink" Target="https://www.diodes.com/part/view/DMG3420UQ" TargetMode="External"/><Relationship Id="rId_hyperlink_340" Type="http://schemas.openxmlformats.org/officeDocument/2006/relationships/hyperlink" Target="https://www.diodes.com/assets/Datasheets/DMG3420UQ.pdf" TargetMode="External"/><Relationship Id="rId_hyperlink_341" Type="http://schemas.openxmlformats.org/officeDocument/2006/relationships/hyperlink" Target="https://www.diodes.com/part/view/DMG4466SSS" TargetMode="External"/><Relationship Id="rId_hyperlink_342" Type="http://schemas.openxmlformats.org/officeDocument/2006/relationships/hyperlink" Target="https://www.diodes.com/assets/Datasheets/ds32137.pdf" TargetMode="External"/><Relationship Id="rId_hyperlink_343" Type="http://schemas.openxmlformats.org/officeDocument/2006/relationships/hyperlink" Target="https://www.diodes.com/part/view/DMG4466SSSL" TargetMode="External"/><Relationship Id="rId_hyperlink_344" Type="http://schemas.openxmlformats.org/officeDocument/2006/relationships/hyperlink" Target="https://www.diodes.com/assets/Datasheets/ds32244.pdf" TargetMode="External"/><Relationship Id="rId_hyperlink_345" Type="http://schemas.openxmlformats.org/officeDocument/2006/relationships/hyperlink" Target="https://www.diodes.com/part/view/DMG4468LFG" TargetMode="External"/><Relationship Id="rId_hyperlink_346" Type="http://schemas.openxmlformats.org/officeDocument/2006/relationships/hyperlink" Target="https://www.diodes.com/assets/Datasheets/ds31857.pdf" TargetMode="External"/><Relationship Id="rId_hyperlink_347" Type="http://schemas.openxmlformats.org/officeDocument/2006/relationships/hyperlink" Target="https://www.diodes.com/part/view/DMG4468LK3" TargetMode="External"/><Relationship Id="rId_hyperlink_348" Type="http://schemas.openxmlformats.org/officeDocument/2006/relationships/hyperlink" Target="https://www.diodes.com/assets/Datasheets/DMG4468LK3.pdf" TargetMode="External"/><Relationship Id="rId_hyperlink_349" Type="http://schemas.openxmlformats.org/officeDocument/2006/relationships/hyperlink" Target="https://www.diodes.com/part/view/DMG4496SSS" TargetMode="External"/><Relationship Id="rId_hyperlink_350" Type="http://schemas.openxmlformats.org/officeDocument/2006/relationships/hyperlink" Target="https://www.diodes.com/assets/Datasheets/ds32048.pdf" TargetMode="External"/><Relationship Id="rId_hyperlink_351" Type="http://schemas.openxmlformats.org/officeDocument/2006/relationships/hyperlink" Target="https://www.diodes.com/part/view/DMG4511SK4" TargetMode="External"/><Relationship Id="rId_hyperlink_352" Type="http://schemas.openxmlformats.org/officeDocument/2006/relationships/hyperlink" Target="https://www.diodes.com/assets/Datasheets/DMG4511SK4.pdf" TargetMode="External"/><Relationship Id="rId_hyperlink_353" Type="http://schemas.openxmlformats.org/officeDocument/2006/relationships/hyperlink" Target="https://www.diodes.com/part/view/DMG4800LFG" TargetMode="External"/><Relationship Id="rId_hyperlink_354" Type="http://schemas.openxmlformats.org/officeDocument/2006/relationships/hyperlink" Target="https://www.diodes.com/assets/Datasheets/ds31785.pdf" TargetMode="External"/><Relationship Id="rId_hyperlink_355" Type="http://schemas.openxmlformats.org/officeDocument/2006/relationships/hyperlink" Target="https://www.diodes.com/part/view/DMG4800LK3" TargetMode="External"/><Relationship Id="rId_hyperlink_356" Type="http://schemas.openxmlformats.org/officeDocument/2006/relationships/hyperlink" Target="https://www.diodes.com/assets/Datasheets/ds31959.pdf" TargetMode="External"/><Relationship Id="rId_hyperlink_357" Type="http://schemas.openxmlformats.org/officeDocument/2006/relationships/hyperlink" Target="https://www.diodes.com/part/view/DMG4800LSD" TargetMode="External"/><Relationship Id="rId_hyperlink_358" Type="http://schemas.openxmlformats.org/officeDocument/2006/relationships/hyperlink" Target="https://www.diodes.com/assets/Datasheets/DMG4800LSD.pdf" TargetMode="External"/><Relationship Id="rId_hyperlink_359" Type="http://schemas.openxmlformats.org/officeDocument/2006/relationships/hyperlink" Target="https://www.diodes.com/part/view/DMG4822SSD" TargetMode="External"/><Relationship Id="rId_hyperlink_360" Type="http://schemas.openxmlformats.org/officeDocument/2006/relationships/hyperlink" Target="https://www.diodes.com/assets/Datasheets/DMG4822SSD.pdf" TargetMode="External"/><Relationship Id="rId_hyperlink_361" Type="http://schemas.openxmlformats.org/officeDocument/2006/relationships/hyperlink" Target="https://www.diodes.com/part/view/DMG5802LFX" TargetMode="External"/><Relationship Id="rId_hyperlink_362" Type="http://schemas.openxmlformats.org/officeDocument/2006/relationships/hyperlink" Target="https://www.diodes.com/assets/Datasheets/DMG5802LFX.pdf" TargetMode="External"/><Relationship Id="rId_hyperlink_363" Type="http://schemas.openxmlformats.org/officeDocument/2006/relationships/hyperlink" Target="https://www.diodes.com/part/view/DMG6301UDW" TargetMode="External"/><Relationship Id="rId_hyperlink_364" Type="http://schemas.openxmlformats.org/officeDocument/2006/relationships/hyperlink" Target="https://www.diodes.com/assets/Datasheets/DMG6301UDW.pdf" TargetMode="External"/><Relationship Id="rId_hyperlink_365" Type="http://schemas.openxmlformats.org/officeDocument/2006/relationships/hyperlink" Target="https://www.diodes.com/part/view/DMG6302UDW" TargetMode="External"/><Relationship Id="rId_hyperlink_366" Type="http://schemas.openxmlformats.org/officeDocument/2006/relationships/hyperlink" Target="https://www.diodes.com/assets/Datasheets/DMG6302UDW.pdf" TargetMode="External"/><Relationship Id="rId_hyperlink_367" Type="http://schemas.openxmlformats.org/officeDocument/2006/relationships/hyperlink" Target="https://www.diodes.com/part/view/DMG6402LVT" TargetMode="External"/><Relationship Id="rId_hyperlink_368" Type="http://schemas.openxmlformats.org/officeDocument/2006/relationships/hyperlink" Target="https://www.diodes.com/assets/Datasheets/DMG6402LVT.pdf" TargetMode="External"/><Relationship Id="rId_hyperlink_369" Type="http://schemas.openxmlformats.org/officeDocument/2006/relationships/hyperlink" Target="https://www.diodes.com/part/view/DMG6601LVT" TargetMode="External"/><Relationship Id="rId_hyperlink_370" Type="http://schemas.openxmlformats.org/officeDocument/2006/relationships/hyperlink" Target="https://www.diodes.com/assets/Datasheets/DMG6601LVT.pdf" TargetMode="External"/><Relationship Id="rId_hyperlink_371" Type="http://schemas.openxmlformats.org/officeDocument/2006/relationships/hyperlink" Target="https://www.diodes.com/part/view/DMG6898LSD" TargetMode="External"/><Relationship Id="rId_hyperlink_372" Type="http://schemas.openxmlformats.org/officeDocument/2006/relationships/hyperlink" Target="https://www.diodes.com/assets/Datasheets/DMG6898LSD.pdf" TargetMode="External"/><Relationship Id="rId_hyperlink_373" Type="http://schemas.openxmlformats.org/officeDocument/2006/relationships/hyperlink" Target="https://www.diodes.com/part/view/DMG6968UDM" TargetMode="External"/><Relationship Id="rId_hyperlink_374" Type="http://schemas.openxmlformats.org/officeDocument/2006/relationships/hyperlink" Target="https://www.diodes.com/assets/Datasheets/ds31758.pdf" TargetMode="External"/><Relationship Id="rId_hyperlink_375" Type="http://schemas.openxmlformats.org/officeDocument/2006/relationships/hyperlink" Target="https://www.diodes.com/part/view/DMG6968UTS" TargetMode="External"/><Relationship Id="rId_hyperlink_376" Type="http://schemas.openxmlformats.org/officeDocument/2006/relationships/hyperlink" Target="https://www.diodes.com/assets/Datasheets/ds31793.pdf" TargetMode="External"/><Relationship Id="rId_hyperlink_377" Type="http://schemas.openxmlformats.org/officeDocument/2006/relationships/hyperlink" Target="https://www.diodes.com/part/view/DMG7410SFG" TargetMode="External"/><Relationship Id="rId_hyperlink_378" Type="http://schemas.openxmlformats.org/officeDocument/2006/relationships/hyperlink" Target="https://www.diodes.com/assets/Datasheets/DMG7410SFG.pdf" TargetMode="External"/><Relationship Id="rId_hyperlink_379" Type="http://schemas.openxmlformats.org/officeDocument/2006/relationships/hyperlink" Target="https://www.diodes.com/part/view/DMG7430LFG" TargetMode="External"/><Relationship Id="rId_hyperlink_380" Type="http://schemas.openxmlformats.org/officeDocument/2006/relationships/hyperlink" Target="https://www.diodes.com/assets/Datasheets/DMG7430LFG.pdf" TargetMode="External"/><Relationship Id="rId_hyperlink_381" Type="http://schemas.openxmlformats.org/officeDocument/2006/relationships/hyperlink" Target="https://www.diodes.com/part/view/DMG7430LFGQ" TargetMode="External"/><Relationship Id="rId_hyperlink_382" Type="http://schemas.openxmlformats.org/officeDocument/2006/relationships/hyperlink" Target="https://www.diodes.com/assets/Datasheets/DMG7430LFGQ.pdf" TargetMode="External"/><Relationship Id="rId_hyperlink_383" Type="http://schemas.openxmlformats.org/officeDocument/2006/relationships/hyperlink" Target="https://www.diodes.com/part/view/DMG8601UFG" TargetMode="External"/><Relationship Id="rId_hyperlink_384" Type="http://schemas.openxmlformats.org/officeDocument/2006/relationships/hyperlink" Target="https://www.diodes.com/assets/Datasheets/ds31788.pdf" TargetMode="External"/><Relationship Id="rId_hyperlink_385" Type="http://schemas.openxmlformats.org/officeDocument/2006/relationships/hyperlink" Target="https://www.diodes.com/part/view/DMG8822UTS" TargetMode="External"/><Relationship Id="rId_hyperlink_386" Type="http://schemas.openxmlformats.org/officeDocument/2006/relationships/hyperlink" Target="https://www.diodes.com/assets/Datasheets/ds31798.pdf" TargetMode="External"/><Relationship Id="rId_hyperlink_387" Type="http://schemas.openxmlformats.org/officeDocument/2006/relationships/hyperlink" Target="https://www.diodes.com/part/view/DMG8880LK3" TargetMode="External"/><Relationship Id="rId_hyperlink_388" Type="http://schemas.openxmlformats.org/officeDocument/2006/relationships/hyperlink" Target="https://www.diodes.com/assets/Datasheets/DMG8880LK3.pdf" TargetMode="External"/><Relationship Id="rId_hyperlink_389" Type="http://schemas.openxmlformats.org/officeDocument/2006/relationships/hyperlink" Target="https://www.diodes.com/part/view/DMG9926UDM" TargetMode="External"/><Relationship Id="rId_hyperlink_390" Type="http://schemas.openxmlformats.org/officeDocument/2006/relationships/hyperlink" Target="https://www.diodes.com/assets/Datasheets/ds31770.pdf" TargetMode="External"/><Relationship Id="rId_hyperlink_391" Type="http://schemas.openxmlformats.org/officeDocument/2006/relationships/hyperlink" Target="https://www.diodes.com/part/view/DMG9926USD" TargetMode="External"/><Relationship Id="rId_hyperlink_392" Type="http://schemas.openxmlformats.org/officeDocument/2006/relationships/hyperlink" Target="https://www.diodes.com/assets/Datasheets/ds31757.pdf" TargetMode="External"/><Relationship Id="rId_hyperlink_393" Type="http://schemas.openxmlformats.org/officeDocument/2006/relationships/hyperlink" Target="https://www.diodes.com/part/view/DMG9933USD" TargetMode="External"/><Relationship Id="rId_hyperlink_394" Type="http://schemas.openxmlformats.org/officeDocument/2006/relationships/hyperlink" Target="https://www.diodes.com/assets/Datasheets/DMG9933USD.pdf" TargetMode="External"/><Relationship Id="rId_hyperlink_395" Type="http://schemas.openxmlformats.org/officeDocument/2006/relationships/hyperlink" Target="https://www.diodes.com/part/view/DMGD7N45SSD" TargetMode="External"/><Relationship Id="rId_hyperlink_396" Type="http://schemas.openxmlformats.org/officeDocument/2006/relationships/hyperlink" Target="https://www.diodes.com/assets/Datasheets/DMGD7N45SSD.pdf" TargetMode="External"/><Relationship Id="rId_hyperlink_397" Type="http://schemas.openxmlformats.org/officeDocument/2006/relationships/hyperlink" Target="https://www.diodes.com/part/view/DMHC10H170SFJ" TargetMode="External"/><Relationship Id="rId_hyperlink_398" Type="http://schemas.openxmlformats.org/officeDocument/2006/relationships/hyperlink" Target="https://www.diodes.com/assets/Datasheets/DMHC10H170SFJ.pdf" TargetMode="External"/><Relationship Id="rId_hyperlink_399" Type="http://schemas.openxmlformats.org/officeDocument/2006/relationships/hyperlink" Target="https://www.diodes.com/part/view/DMHC3025LSD" TargetMode="External"/><Relationship Id="rId_hyperlink_400" Type="http://schemas.openxmlformats.org/officeDocument/2006/relationships/hyperlink" Target="https://www.diodes.com/assets/Datasheets/DMHC3025LSD.pdf" TargetMode="External"/><Relationship Id="rId_hyperlink_401" Type="http://schemas.openxmlformats.org/officeDocument/2006/relationships/hyperlink" Target="https://www.diodes.com/part/view/DMHC3025LSDQ" TargetMode="External"/><Relationship Id="rId_hyperlink_402" Type="http://schemas.openxmlformats.org/officeDocument/2006/relationships/hyperlink" Target="https://www.diodes.com/assets/Datasheets/DMHC3025LSDQ.pdf" TargetMode="External"/><Relationship Id="rId_hyperlink_403" Type="http://schemas.openxmlformats.org/officeDocument/2006/relationships/hyperlink" Target="https://www.diodes.com/part/view/DMHC4035LSD" TargetMode="External"/><Relationship Id="rId_hyperlink_404" Type="http://schemas.openxmlformats.org/officeDocument/2006/relationships/hyperlink" Target="https://www.diodes.com/assets/Datasheets/DMHC4035LSD.pdf" TargetMode="External"/><Relationship Id="rId_hyperlink_405" Type="http://schemas.openxmlformats.org/officeDocument/2006/relationships/hyperlink" Target="https://www.diodes.com/part/view/DMHC4035LSDQ" TargetMode="External"/><Relationship Id="rId_hyperlink_406" Type="http://schemas.openxmlformats.org/officeDocument/2006/relationships/hyperlink" Target="https://www.diodes.com/assets/Datasheets/DMHC4035LSDQ.pdf" TargetMode="External"/><Relationship Id="rId_hyperlink_407" Type="http://schemas.openxmlformats.org/officeDocument/2006/relationships/hyperlink" Target="https://www.diodes.com/part/view/DMHC6070LSD" TargetMode="External"/><Relationship Id="rId_hyperlink_408" Type="http://schemas.openxmlformats.org/officeDocument/2006/relationships/hyperlink" Target="https://www.diodes.com/assets/Datasheets/DMHC6070LSD.pdf" TargetMode="External"/><Relationship Id="rId_hyperlink_409" Type="http://schemas.openxmlformats.org/officeDocument/2006/relationships/hyperlink" Target="https://www.diodes.com/part/view/DMHT10H032LFJ" TargetMode="External"/><Relationship Id="rId_hyperlink_410" Type="http://schemas.openxmlformats.org/officeDocument/2006/relationships/hyperlink" Target="https://www.diodes.com/assets/Datasheets/DMHT10H032LFJ.pdf" TargetMode="External"/><Relationship Id="rId_hyperlink_411" Type="http://schemas.openxmlformats.org/officeDocument/2006/relationships/hyperlink" Target="https://www.diodes.com/part/view/DMHT3006LFJ" TargetMode="External"/><Relationship Id="rId_hyperlink_412" Type="http://schemas.openxmlformats.org/officeDocument/2006/relationships/hyperlink" Target="https://www.diodes.com/assets/Datasheets/DMHT3006LFJ.pdf" TargetMode="External"/><Relationship Id="rId_hyperlink_413" Type="http://schemas.openxmlformats.org/officeDocument/2006/relationships/hyperlink" Target="https://www.diodes.com/part/view/DMHT6016LFJ" TargetMode="External"/><Relationship Id="rId_hyperlink_414" Type="http://schemas.openxmlformats.org/officeDocument/2006/relationships/hyperlink" Target="https://www.diodes.com/assets/Datasheets/DMHT6016LFJ.pdf" TargetMode="External"/><Relationship Id="rId_hyperlink_415" Type="http://schemas.openxmlformats.org/officeDocument/2006/relationships/hyperlink" Target="https://www.diodes.com/part/view/DMN1001UCA10" TargetMode="External"/><Relationship Id="rId_hyperlink_416" Type="http://schemas.openxmlformats.org/officeDocument/2006/relationships/hyperlink" Target="https://www.diodes.com/assets/Datasheets/DMN1001UCA10.pdf" TargetMode="External"/><Relationship Id="rId_hyperlink_417" Type="http://schemas.openxmlformats.org/officeDocument/2006/relationships/hyperlink" Target="https://www.diodes.com/part/view/DMN1002UCA6" TargetMode="External"/><Relationship Id="rId_hyperlink_418" Type="http://schemas.openxmlformats.org/officeDocument/2006/relationships/hyperlink" Target="https://www.diodes.com/assets/Datasheets/DMN1002UCA6.pdf" TargetMode="External"/><Relationship Id="rId_hyperlink_419" Type="http://schemas.openxmlformats.org/officeDocument/2006/relationships/hyperlink" Target="https://www.diodes.com/part/view/DMN1003UCA6" TargetMode="External"/><Relationship Id="rId_hyperlink_420" Type="http://schemas.openxmlformats.org/officeDocument/2006/relationships/hyperlink" Target="https://www.diodes.com/assets/Datasheets/DMN1003UCA6.pdf" TargetMode="External"/><Relationship Id="rId_hyperlink_421" Type="http://schemas.openxmlformats.org/officeDocument/2006/relationships/hyperlink" Target="https://www.diodes.com/part/view/DMN1003UFDE" TargetMode="External"/><Relationship Id="rId_hyperlink_422" Type="http://schemas.openxmlformats.org/officeDocument/2006/relationships/hyperlink" Target="https://www.diodes.com/assets/Datasheets/DMN1003UFDE.pdf" TargetMode="External"/><Relationship Id="rId_hyperlink_423" Type="http://schemas.openxmlformats.org/officeDocument/2006/relationships/hyperlink" Target="https://www.diodes.com/part/view/DMN1004UFDF" TargetMode="External"/><Relationship Id="rId_hyperlink_424" Type="http://schemas.openxmlformats.org/officeDocument/2006/relationships/hyperlink" Target="https://www.diodes.com/assets/Datasheets/DMN1004UFDF.pdf" TargetMode="External"/><Relationship Id="rId_hyperlink_425" Type="http://schemas.openxmlformats.org/officeDocument/2006/relationships/hyperlink" Target="https://www.diodes.com/part/view/DMN1004UFV" TargetMode="External"/><Relationship Id="rId_hyperlink_426" Type="http://schemas.openxmlformats.org/officeDocument/2006/relationships/hyperlink" Target="https://www.diodes.com/assets/Datasheets/DMN1004UFV.pdf" TargetMode="External"/><Relationship Id="rId_hyperlink_427" Type="http://schemas.openxmlformats.org/officeDocument/2006/relationships/hyperlink" Target="https://www.diodes.com/part/view/DMN1006UCA6" TargetMode="External"/><Relationship Id="rId_hyperlink_428" Type="http://schemas.openxmlformats.org/officeDocument/2006/relationships/hyperlink" Target="https://www.diodes.com/assets/Datasheets/DMN1006UCA6.pdf" TargetMode="External"/><Relationship Id="rId_hyperlink_429" Type="http://schemas.openxmlformats.org/officeDocument/2006/relationships/hyperlink" Target="https://www.diodes.com/part/view/DMN1008UFDF" TargetMode="External"/><Relationship Id="rId_hyperlink_430" Type="http://schemas.openxmlformats.org/officeDocument/2006/relationships/hyperlink" Target="https://www.diodes.com/assets/Datasheets/DMN1008UFDF.pdf" TargetMode="External"/><Relationship Id="rId_hyperlink_431" Type="http://schemas.openxmlformats.org/officeDocument/2006/relationships/hyperlink" Target="https://www.diodes.com/part/view/DMN1008UFDFQ" TargetMode="External"/><Relationship Id="rId_hyperlink_432" Type="http://schemas.openxmlformats.org/officeDocument/2006/relationships/hyperlink" Target="https://www.diodes.com/assets/Datasheets/DMN1008UFDFQ.pdf" TargetMode="External"/><Relationship Id="rId_hyperlink_433" Type="http://schemas.openxmlformats.org/officeDocument/2006/relationships/hyperlink" Target="https://www.diodes.com/part/view/DMN1014UFDF" TargetMode="External"/><Relationship Id="rId_hyperlink_434" Type="http://schemas.openxmlformats.org/officeDocument/2006/relationships/hyperlink" Target="https://www.diodes.com/assets/Datasheets/DMN1014UFDF.pdf" TargetMode="External"/><Relationship Id="rId_hyperlink_435" Type="http://schemas.openxmlformats.org/officeDocument/2006/relationships/hyperlink" Target="https://www.diodes.com/part/view/DMN1017UCP3" TargetMode="External"/><Relationship Id="rId_hyperlink_436" Type="http://schemas.openxmlformats.org/officeDocument/2006/relationships/hyperlink" Target="https://www.diodes.com/assets/Datasheets/DMN1017UCP3.pdf" TargetMode="External"/><Relationship Id="rId_hyperlink_437" Type="http://schemas.openxmlformats.org/officeDocument/2006/relationships/hyperlink" Target="https://www.diodes.com/part/view/DMN1019UFDE" TargetMode="External"/><Relationship Id="rId_hyperlink_438" Type="http://schemas.openxmlformats.org/officeDocument/2006/relationships/hyperlink" Target="https://www.diodes.com/assets/Datasheets/DMN1019UFDE.pdf" TargetMode="External"/><Relationship Id="rId_hyperlink_439" Type="http://schemas.openxmlformats.org/officeDocument/2006/relationships/hyperlink" Target="https://www.diodes.com/part/view/DMN1019USN" TargetMode="External"/><Relationship Id="rId_hyperlink_440" Type="http://schemas.openxmlformats.org/officeDocument/2006/relationships/hyperlink" Target="https://www.diodes.com/assets/Datasheets/DMN1019USN.pdf" TargetMode="External"/><Relationship Id="rId_hyperlink_441" Type="http://schemas.openxmlformats.org/officeDocument/2006/relationships/hyperlink" Target="https://www.diodes.com/part/view/DMN1019USNQ" TargetMode="External"/><Relationship Id="rId_hyperlink_442" Type="http://schemas.openxmlformats.org/officeDocument/2006/relationships/hyperlink" Target="https://www.diodes.com/assets/Datasheets/DMN1019USNQ.pdf" TargetMode="External"/><Relationship Id="rId_hyperlink_443" Type="http://schemas.openxmlformats.org/officeDocument/2006/relationships/hyperlink" Target="https://www.diodes.com/part/view/DMN1019UVT" TargetMode="External"/><Relationship Id="rId_hyperlink_444" Type="http://schemas.openxmlformats.org/officeDocument/2006/relationships/hyperlink" Target="https://www.diodes.com/assets/Datasheets/DMN1019UVT.pdf" TargetMode="External"/><Relationship Id="rId_hyperlink_445" Type="http://schemas.openxmlformats.org/officeDocument/2006/relationships/hyperlink" Target="https://www.diodes.com/part/view/DMN1021UCA4" TargetMode="External"/><Relationship Id="rId_hyperlink_446" Type="http://schemas.openxmlformats.org/officeDocument/2006/relationships/hyperlink" Target="https://www.diodes.com/assets/Datasheets/DMN1021UCA4.pdf" TargetMode="External"/><Relationship Id="rId_hyperlink_447" Type="http://schemas.openxmlformats.org/officeDocument/2006/relationships/hyperlink" Target="https://www.diodes.com/part/view/DMN1025UFDB" TargetMode="External"/><Relationship Id="rId_hyperlink_448" Type="http://schemas.openxmlformats.org/officeDocument/2006/relationships/hyperlink" Target="https://www.diodes.com/assets/Datasheets/DMN1025UFDB.pdf" TargetMode="External"/><Relationship Id="rId_hyperlink_449" Type="http://schemas.openxmlformats.org/officeDocument/2006/relationships/hyperlink" Target="https://www.diodes.com/part/view/DMN1029UFDB" TargetMode="External"/><Relationship Id="rId_hyperlink_450" Type="http://schemas.openxmlformats.org/officeDocument/2006/relationships/hyperlink" Target="https://www.diodes.com/assets/Datasheets/DMN1029UFDB.pdf" TargetMode="External"/><Relationship Id="rId_hyperlink_451" Type="http://schemas.openxmlformats.org/officeDocument/2006/relationships/hyperlink" Target="https://www.diodes.com/part/view/DMN1032UCP4" TargetMode="External"/><Relationship Id="rId_hyperlink_452" Type="http://schemas.openxmlformats.org/officeDocument/2006/relationships/hyperlink" Target="https://www.diodes.com/assets/Datasheets/DMN1032UCP4.pdf" TargetMode="External"/><Relationship Id="rId_hyperlink_453" Type="http://schemas.openxmlformats.org/officeDocument/2006/relationships/hyperlink" Target="https://www.diodes.com/part/view/DMN1045UFR4" TargetMode="External"/><Relationship Id="rId_hyperlink_454" Type="http://schemas.openxmlformats.org/officeDocument/2006/relationships/hyperlink" Target="https://www.diodes.com/assets/Datasheets/DMN1045UFR4.pdf" TargetMode="External"/><Relationship Id="rId_hyperlink_455" Type="http://schemas.openxmlformats.org/officeDocument/2006/relationships/hyperlink" Target="https://www.diodes.com/part/view/DMN1053UCP4" TargetMode="External"/><Relationship Id="rId_hyperlink_456" Type="http://schemas.openxmlformats.org/officeDocument/2006/relationships/hyperlink" Target="https://www.diodes.com/assets/Datasheets/DMN1053UCP4.pdf" TargetMode="External"/><Relationship Id="rId_hyperlink_457" Type="http://schemas.openxmlformats.org/officeDocument/2006/relationships/hyperlink" Target="https://www.diodes.com/part/view/DMN1054UCB4" TargetMode="External"/><Relationship Id="rId_hyperlink_458" Type="http://schemas.openxmlformats.org/officeDocument/2006/relationships/hyperlink" Target="https://www.diodes.com/assets/Datasheets/DMN1054UCB4.pdf" TargetMode="External"/><Relationship Id="rId_hyperlink_459" Type="http://schemas.openxmlformats.org/officeDocument/2006/relationships/hyperlink" Target="https://www.diodes.com/part/view/DMN10H099SFG" TargetMode="External"/><Relationship Id="rId_hyperlink_460" Type="http://schemas.openxmlformats.org/officeDocument/2006/relationships/hyperlink" Target="https://www.diodes.com/assets/Datasheets/DMN10H099SFG.pdf" TargetMode="External"/><Relationship Id="rId_hyperlink_461" Type="http://schemas.openxmlformats.org/officeDocument/2006/relationships/hyperlink" Target="https://www.diodes.com/part/view/DMN10H099SK3" TargetMode="External"/><Relationship Id="rId_hyperlink_462" Type="http://schemas.openxmlformats.org/officeDocument/2006/relationships/hyperlink" Target="https://www.diodes.com/assets/Datasheets/DMN10H099SK3.pdf" TargetMode="External"/><Relationship Id="rId_hyperlink_463" Type="http://schemas.openxmlformats.org/officeDocument/2006/relationships/hyperlink" Target="https://www.diodes.com/part/view/DMN10H100SK3" TargetMode="External"/><Relationship Id="rId_hyperlink_464" Type="http://schemas.openxmlformats.org/officeDocument/2006/relationships/hyperlink" Target="https://www.diodes.com/assets/Datasheets/DMN10H100SK3.pdf" TargetMode="External"/><Relationship Id="rId_hyperlink_465" Type="http://schemas.openxmlformats.org/officeDocument/2006/relationships/hyperlink" Target="https://www.diodes.com/part/view/DMN10H120SE" TargetMode="External"/><Relationship Id="rId_hyperlink_466" Type="http://schemas.openxmlformats.org/officeDocument/2006/relationships/hyperlink" Target="https://www.diodes.com/assets/Datasheets/DMN10H120SE.pdf" TargetMode="External"/><Relationship Id="rId_hyperlink_467" Type="http://schemas.openxmlformats.org/officeDocument/2006/relationships/hyperlink" Target="https://www.diodes.com/part/view/DMN10H120SFG" TargetMode="External"/><Relationship Id="rId_hyperlink_468" Type="http://schemas.openxmlformats.org/officeDocument/2006/relationships/hyperlink" Target="https://www.diodes.com/assets/Datasheets/DMN10H120SFG.pdf" TargetMode="External"/><Relationship Id="rId_hyperlink_469" Type="http://schemas.openxmlformats.org/officeDocument/2006/relationships/hyperlink" Target="https://www.diodes.com/part/view/DMN10H170SFDE" TargetMode="External"/><Relationship Id="rId_hyperlink_470" Type="http://schemas.openxmlformats.org/officeDocument/2006/relationships/hyperlink" Target="https://www.diodes.com/assets/Datasheets/DMN10H170SFDE.pdf" TargetMode="External"/><Relationship Id="rId_hyperlink_471" Type="http://schemas.openxmlformats.org/officeDocument/2006/relationships/hyperlink" Target="https://www.diodes.com/part/view/DMN10H170SFG" TargetMode="External"/><Relationship Id="rId_hyperlink_472" Type="http://schemas.openxmlformats.org/officeDocument/2006/relationships/hyperlink" Target="https://www.diodes.com/assets/Datasheets/DMN10H170SFG.pdf" TargetMode="External"/><Relationship Id="rId_hyperlink_473" Type="http://schemas.openxmlformats.org/officeDocument/2006/relationships/hyperlink" Target="https://www.diodes.com/part/view/DMN10H170SFGQ" TargetMode="External"/><Relationship Id="rId_hyperlink_474" Type="http://schemas.openxmlformats.org/officeDocument/2006/relationships/hyperlink" Target="https://www.diodes.com/assets/Datasheets/DMN10H170SFGQ.pdf" TargetMode="External"/><Relationship Id="rId_hyperlink_475" Type="http://schemas.openxmlformats.org/officeDocument/2006/relationships/hyperlink" Target="https://www.diodes.com/part/view/DMN10H170SK3" TargetMode="External"/><Relationship Id="rId_hyperlink_476" Type="http://schemas.openxmlformats.org/officeDocument/2006/relationships/hyperlink" Target="https://www.diodes.com/assets/Datasheets/DMN10H170SK3.pdf" TargetMode="External"/><Relationship Id="rId_hyperlink_477" Type="http://schemas.openxmlformats.org/officeDocument/2006/relationships/hyperlink" Target="https://www.diodes.com/part/view/DMN10H170SK3Q" TargetMode="External"/><Relationship Id="rId_hyperlink_478" Type="http://schemas.openxmlformats.org/officeDocument/2006/relationships/hyperlink" Target="https://www.diodes.com/assets/Datasheets/DMN10H170SK3Q2.pdf" TargetMode="External"/><Relationship Id="rId_hyperlink_479" Type="http://schemas.openxmlformats.org/officeDocument/2006/relationships/hyperlink" Target="https://www.diodes.com/part/view/DMN10H170SVT" TargetMode="External"/><Relationship Id="rId_hyperlink_480" Type="http://schemas.openxmlformats.org/officeDocument/2006/relationships/hyperlink" Target="https://www.diodes.com/assets/Datasheets/DMN10H170SVT.pdf" TargetMode="External"/><Relationship Id="rId_hyperlink_481" Type="http://schemas.openxmlformats.org/officeDocument/2006/relationships/hyperlink" Target="https://www.diodes.com/part/view/DMN10H170SVTQ" TargetMode="External"/><Relationship Id="rId_hyperlink_482" Type="http://schemas.openxmlformats.org/officeDocument/2006/relationships/hyperlink" Target="https://www.diodes.com/assets/Datasheets/DMN10H170SVTQ.pdf" TargetMode="External"/><Relationship Id="rId_hyperlink_483" Type="http://schemas.openxmlformats.org/officeDocument/2006/relationships/hyperlink" Target="https://www.diodes.com/part/view/DMN10H220L" TargetMode="External"/><Relationship Id="rId_hyperlink_484" Type="http://schemas.openxmlformats.org/officeDocument/2006/relationships/hyperlink" Target="https://www.diodes.com/assets/Datasheets/DMN10H220L.pdf" TargetMode="External"/><Relationship Id="rId_hyperlink_485" Type="http://schemas.openxmlformats.org/officeDocument/2006/relationships/hyperlink" Target="https://www.diodes.com/part/view/DMN10H220LDV" TargetMode="External"/><Relationship Id="rId_hyperlink_486" Type="http://schemas.openxmlformats.org/officeDocument/2006/relationships/hyperlink" Target="https://www.diodes.com/assets/Datasheets/DMN10H220LDV.pdf" TargetMode="External"/><Relationship Id="rId_hyperlink_487" Type="http://schemas.openxmlformats.org/officeDocument/2006/relationships/hyperlink" Target="https://www.diodes.com/part/view/DMN10H220LE" TargetMode="External"/><Relationship Id="rId_hyperlink_488" Type="http://schemas.openxmlformats.org/officeDocument/2006/relationships/hyperlink" Target="https://www.diodes.com/assets/Datasheets/DMN10H220LE.pdf" TargetMode="External"/><Relationship Id="rId_hyperlink_489" Type="http://schemas.openxmlformats.org/officeDocument/2006/relationships/hyperlink" Target="https://www.diodes.com/part/view/DMN10H220LFDF" TargetMode="External"/><Relationship Id="rId_hyperlink_490" Type="http://schemas.openxmlformats.org/officeDocument/2006/relationships/hyperlink" Target="https://www.diodes.com/assets/Datasheets/DMN10H220LFDF.pdf" TargetMode="External"/><Relationship Id="rId_hyperlink_491" Type="http://schemas.openxmlformats.org/officeDocument/2006/relationships/hyperlink" Target="https://www.diodes.com/part/view/DMN10H220LFVW" TargetMode="External"/><Relationship Id="rId_hyperlink_492" Type="http://schemas.openxmlformats.org/officeDocument/2006/relationships/hyperlink" Target="https://www.diodes.com/assets/Datasheets/DMN10H220LFVW.pdf" TargetMode="External"/><Relationship Id="rId_hyperlink_493" Type="http://schemas.openxmlformats.org/officeDocument/2006/relationships/hyperlink" Target="https://www.diodes.com/part/view/DMN10H220LK3" TargetMode="External"/><Relationship Id="rId_hyperlink_494" Type="http://schemas.openxmlformats.org/officeDocument/2006/relationships/hyperlink" Target="https://www.diodes.com/assets/Datasheets/DMN10H220LK3.pdf" TargetMode="External"/><Relationship Id="rId_hyperlink_495" Type="http://schemas.openxmlformats.org/officeDocument/2006/relationships/hyperlink" Target="https://www.diodes.com/part/view/DMN10H220LPDW" TargetMode="External"/><Relationship Id="rId_hyperlink_496" Type="http://schemas.openxmlformats.org/officeDocument/2006/relationships/hyperlink" Target="https://www.diodes.com/assets/Datasheets/DMN10H220LPDW.pdf" TargetMode="External"/><Relationship Id="rId_hyperlink_497" Type="http://schemas.openxmlformats.org/officeDocument/2006/relationships/hyperlink" Target="https://www.diodes.com/part/view/DMN10H220LQ" TargetMode="External"/><Relationship Id="rId_hyperlink_498" Type="http://schemas.openxmlformats.org/officeDocument/2006/relationships/hyperlink" Target="https://www.diodes.com/assets/Datasheets/DMN10H220LQ.pdf" TargetMode="External"/><Relationship Id="rId_hyperlink_499" Type="http://schemas.openxmlformats.org/officeDocument/2006/relationships/hyperlink" Target="https://www.diodes.com/part/view/DMN10H220LVT" TargetMode="External"/><Relationship Id="rId_hyperlink_500" Type="http://schemas.openxmlformats.org/officeDocument/2006/relationships/hyperlink" Target="https://www.diodes.com/assets/Datasheets/DMN10H220LVT.pdf" TargetMode="External"/><Relationship Id="rId_hyperlink_501" Type="http://schemas.openxmlformats.org/officeDocument/2006/relationships/hyperlink" Target="https://www.diodes.com/part/view/DMN10H6D2LFDB" TargetMode="External"/><Relationship Id="rId_hyperlink_502" Type="http://schemas.openxmlformats.org/officeDocument/2006/relationships/hyperlink" Target="https://www.diodes.com/assets/Datasheets/DMN10H6D2LFDB.pdf" TargetMode="External"/><Relationship Id="rId_hyperlink_503" Type="http://schemas.openxmlformats.org/officeDocument/2006/relationships/hyperlink" Target="https://www.diodes.com/part/view/DMN10H700S" TargetMode="External"/><Relationship Id="rId_hyperlink_504" Type="http://schemas.openxmlformats.org/officeDocument/2006/relationships/hyperlink" Target="https://www.diodes.com/assets/Datasheets/DMN10H700S.pdf" TargetMode="External"/><Relationship Id="rId_hyperlink_505" Type="http://schemas.openxmlformats.org/officeDocument/2006/relationships/hyperlink" Target="https://www.diodes.com/part/view/DMN1150UFB" TargetMode="External"/><Relationship Id="rId_hyperlink_506" Type="http://schemas.openxmlformats.org/officeDocument/2006/relationships/hyperlink" Target="https://www.diodes.com/assets/Datasheets/DMN1150UFB.pdf" TargetMode="External"/><Relationship Id="rId_hyperlink_507" Type="http://schemas.openxmlformats.org/officeDocument/2006/relationships/hyperlink" Target="https://www.diodes.com/part/view/DMN1150UFL3" TargetMode="External"/><Relationship Id="rId_hyperlink_508" Type="http://schemas.openxmlformats.org/officeDocument/2006/relationships/hyperlink" Target="https://www.diodes.com/assets/Datasheets/DMN1150UFL3.pdf" TargetMode="External"/><Relationship Id="rId_hyperlink_509" Type="http://schemas.openxmlformats.org/officeDocument/2006/relationships/hyperlink" Target="https://www.diodes.com/part/view/DMN1250UFEL" TargetMode="External"/><Relationship Id="rId_hyperlink_510" Type="http://schemas.openxmlformats.org/officeDocument/2006/relationships/hyperlink" Target="https://www.diodes.com/assets/Datasheets/DMN1250UFEL.pdf" TargetMode="External"/><Relationship Id="rId_hyperlink_511" Type="http://schemas.openxmlformats.org/officeDocument/2006/relationships/hyperlink" Target="https://www.diodes.com/part/view/DMN1260UFA" TargetMode="External"/><Relationship Id="rId_hyperlink_512" Type="http://schemas.openxmlformats.org/officeDocument/2006/relationships/hyperlink" Target="https://www.diodes.com/assets/Datasheets/DMN1260UFA.pdf" TargetMode="External"/><Relationship Id="rId_hyperlink_513" Type="http://schemas.openxmlformats.org/officeDocument/2006/relationships/hyperlink" Target="https://www.diodes.com/part/view/DMN12M3UCA6" TargetMode="External"/><Relationship Id="rId_hyperlink_514" Type="http://schemas.openxmlformats.org/officeDocument/2006/relationships/hyperlink" Target="https://www.diodes.com/assets/Datasheets/DMN12M3UCA6.pdf" TargetMode="External"/><Relationship Id="rId_hyperlink_515" Type="http://schemas.openxmlformats.org/officeDocument/2006/relationships/hyperlink" Target="https://www.diodes.com/part/view/DMN12M7UCA10" TargetMode="External"/><Relationship Id="rId_hyperlink_516" Type="http://schemas.openxmlformats.org/officeDocument/2006/relationships/hyperlink" Target="https://www.diodes.com/assets/Datasheets/DMN12M7UCA10.pdf" TargetMode="External"/><Relationship Id="rId_hyperlink_517" Type="http://schemas.openxmlformats.org/officeDocument/2006/relationships/hyperlink" Target="https://www.diodes.com/part/view/DMN12M8UCA10" TargetMode="External"/><Relationship Id="rId_hyperlink_518" Type="http://schemas.openxmlformats.org/officeDocument/2006/relationships/hyperlink" Target="https://www.diodes.com/assets/Datasheets/DMN12M8UCA10.pdf" TargetMode="External"/><Relationship Id="rId_hyperlink_519" Type="http://schemas.openxmlformats.org/officeDocument/2006/relationships/hyperlink" Target="https://www.diodes.com/part/view/DMN13H750S" TargetMode="External"/><Relationship Id="rId_hyperlink_520" Type="http://schemas.openxmlformats.org/officeDocument/2006/relationships/hyperlink" Target="https://www.diodes.com/assets/Datasheets/DMN13H750S.pdf" TargetMode="External"/><Relationship Id="rId_hyperlink_521" Type="http://schemas.openxmlformats.org/officeDocument/2006/relationships/hyperlink" Target="https://www.diodes.com/part/view/DMN13M9UCA6" TargetMode="External"/><Relationship Id="rId_hyperlink_522" Type="http://schemas.openxmlformats.org/officeDocument/2006/relationships/hyperlink" Target="https://www.diodes.com/assets/Datasheets/DMN13M9UCA6.pdf" TargetMode="External"/><Relationship Id="rId_hyperlink_523" Type="http://schemas.openxmlformats.org/officeDocument/2006/relationships/hyperlink" Target="https://www.diodes.com/part/view/DMN14M8UFDF" TargetMode="External"/><Relationship Id="rId_hyperlink_524" Type="http://schemas.openxmlformats.org/officeDocument/2006/relationships/hyperlink" Target="https://www.diodes.com/assets/Datasheets/DMN14M8UFDF.pdf" TargetMode="External"/><Relationship Id="rId_hyperlink_525" Type="http://schemas.openxmlformats.org/officeDocument/2006/relationships/hyperlink" Target="https://www.diodes.com/part/view/DMN15H310SE" TargetMode="External"/><Relationship Id="rId_hyperlink_526" Type="http://schemas.openxmlformats.org/officeDocument/2006/relationships/hyperlink" Target="https://www.diodes.com/assets/Datasheets/DMN15H310SE.pdf" TargetMode="External"/><Relationship Id="rId_hyperlink_527" Type="http://schemas.openxmlformats.org/officeDocument/2006/relationships/hyperlink" Target="https://www.diodes.com/part/view/DMN15H310SK3" TargetMode="External"/><Relationship Id="rId_hyperlink_528" Type="http://schemas.openxmlformats.org/officeDocument/2006/relationships/hyperlink" Target="https://www.diodes.com/assets/Datasheets/DMN15H310SK3.pdf" TargetMode="External"/><Relationship Id="rId_hyperlink_529" Type="http://schemas.openxmlformats.org/officeDocument/2006/relationships/hyperlink" Target="https://www.diodes.com/part/view/DMN15M3UCA6" TargetMode="External"/><Relationship Id="rId_hyperlink_530" Type="http://schemas.openxmlformats.org/officeDocument/2006/relationships/hyperlink" Target="https://www.diodes.com/assets/Datasheets/DMN15M3UCA6.pdf" TargetMode="External"/><Relationship Id="rId_hyperlink_531" Type="http://schemas.openxmlformats.org/officeDocument/2006/relationships/hyperlink" Target="https://www.diodes.com/part/view/DMN15M5UCA4" TargetMode="External"/><Relationship Id="rId_hyperlink_532" Type="http://schemas.openxmlformats.org/officeDocument/2006/relationships/hyperlink" Target="https://www.diodes.com/assets/Datasheets/DMN15M5UCA4.pdf" TargetMode="External"/><Relationship Id="rId_hyperlink_533" Type="http://schemas.openxmlformats.org/officeDocument/2006/relationships/hyperlink" Target="https://www.diodes.com/part/view/DMN15M5UCA6" TargetMode="External"/><Relationship Id="rId_hyperlink_534" Type="http://schemas.openxmlformats.org/officeDocument/2006/relationships/hyperlink" Target="https://www.diodes.com/assets/Datasheets/DMN15M5UCA6.pdf" TargetMode="External"/><Relationship Id="rId_hyperlink_535" Type="http://schemas.openxmlformats.org/officeDocument/2006/relationships/hyperlink" Target="https://www.diodes.com/part/view/DMN16M0UCA6" TargetMode="External"/><Relationship Id="rId_hyperlink_536" Type="http://schemas.openxmlformats.org/officeDocument/2006/relationships/hyperlink" Target="https://www.diodes.com/assets/Datasheets/DMN16M0UCA6.pdf" TargetMode="External"/><Relationship Id="rId_hyperlink_537" Type="http://schemas.openxmlformats.org/officeDocument/2006/relationships/hyperlink" Target="https://www.diodes.com/part/view/DMN16M7UCA6" TargetMode="External"/><Relationship Id="rId_hyperlink_538" Type="http://schemas.openxmlformats.org/officeDocument/2006/relationships/hyperlink" Target="https://www.diodes.com/assets/Datasheets/DMN16M7UCA6.pdf" TargetMode="External"/><Relationship Id="rId_hyperlink_539" Type="http://schemas.openxmlformats.org/officeDocument/2006/relationships/hyperlink" Target="https://www.diodes.com/part/view/DMN16M8UCA6" TargetMode="External"/><Relationship Id="rId_hyperlink_540" Type="http://schemas.openxmlformats.org/officeDocument/2006/relationships/hyperlink" Target="https://www.diodes.com/assets/Datasheets/DMN16M8UCA6.pdf" TargetMode="External"/><Relationship Id="rId_hyperlink_541" Type="http://schemas.openxmlformats.org/officeDocument/2006/relationships/hyperlink" Target="https://www.diodes.com/part/view/DMN16M9UCA6" TargetMode="External"/><Relationship Id="rId_hyperlink_542" Type="http://schemas.openxmlformats.org/officeDocument/2006/relationships/hyperlink" Target="https://www.diodes.com/assets/Datasheets/DMN16M9UCA6.pdf" TargetMode="External"/><Relationship Id="rId_hyperlink_543" Type="http://schemas.openxmlformats.org/officeDocument/2006/relationships/hyperlink" Target="https://www.diodes.com/part/view/DMN2004DMK" TargetMode="External"/><Relationship Id="rId_hyperlink_544" Type="http://schemas.openxmlformats.org/officeDocument/2006/relationships/hyperlink" Target="https://www.diodes.com/assets/Datasheets/ds30937.pdf" TargetMode="External"/><Relationship Id="rId_hyperlink_545" Type="http://schemas.openxmlformats.org/officeDocument/2006/relationships/hyperlink" Target="https://www.diodes.com/part/view/DMN2004DWK" TargetMode="External"/><Relationship Id="rId_hyperlink_546" Type="http://schemas.openxmlformats.org/officeDocument/2006/relationships/hyperlink" Target="https://www.diodes.com/assets/Datasheets/ds30935.pdf" TargetMode="External"/><Relationship Id="rId_hyperlink_547" Type="http://schemas.openxmlformats.org/officeDocument/2006/relationships/hyperlink" Target="https://www.diodes.com/part/view/DMN2004K" TargetMode="External"/><Relationship Id="rId_hyperlink_548" Type="http://schemas.openxmlformats.org/officeDocument/2006/relationships/hyperlink" Target="https://www.diodes.com/assets/Datasheets/DMN2004K.pdf" TargetMode="External"/><Relationship Id="rId_hyperlink_549" Type="http://schemas.openxmlformats.org/officeDocument/2006/relationships/hyperlink" Target="https://www.diodes.com/part/view/DMN2004TK" TargetMode="External"/><Relationship Id="rId_hyperlink_550" Type="http://schemas.openxmlformats.org/officeDocument/2006/relationships/hyperlink" Target="https://www.diodes.com/assets/Datasheets/ds30936.pdf" TargetMode="External"/><Relationship Id="rId_hyperlink_551" Type="http://schemas.openxmlformats.org/officeDocument/2006/relationships/hyperlink" Target="https://www.diodes.com/part/view/DMN2004VK" TargetMode="External"/><Relationship Id="rId_hyperlink_552" Type="http://schemas.openxmlformats.org/officeDocument/2006/relationships/hyperlink" Target="https://www.diodes.com/assets/Datasheets/DMN2004VK.pdf" TargetMode="External"/><Relationship Id="rId_hyperlink_553" Type="http://schemas.openxmlformats.org/officeDocument/2006/relationships/hyperlink" Target="https://www.diodes.com/part/view/DMN2004WK" TargetMode="External"/><Relationship Id="rId_hyperlink_554" Type="http://schemas.openxmlformats.org/officeDocument/2006/relationships/hyperlink" Target="https://www.diodes.com/assets/Datasheets/ds30934.pdf" TargetMode="External"/><Relationship Id="rId_hyperlink_555" Type="http://schemas.openxmlformats.org/officeDocument/2006/relationships/hyperlink" Target="https://www.diodes.com/part/view/DMN2004WKQ" TargetMode="External"/><Relationship Id="rId_hyperlink_556" Type="http://schemas.openxmlformats.org/officeDocument/2006/relationships/hyperlink" Target="https://www.diodes.com/assets/Datasheets/DMN2004WKQ.pdf" TargetMode="External"/><Relationship Id="rId_hyperlink_557" Type="http://schemas.openxmlformats.org/officeDocument/2006/relationships/hyperlink" Target="https://www.diodes.com/part/view/DMN2005DLP4K" TargetMode="External"/><Relationship Id="rId_hyperlink_558" Type="http://schemas.openxmlformats.org/officeDocument/2006/relationships/hyperlink" Target="https://www.diodes.com/assets/Datasheets/ds30801.pdf" TargetMode="External"/><Relationship Id="rId_hyperlink_559" Type="http://schemas.openxmlformats.org/officeDocument/2006/relationships/hyperlink" Target="https://www.diodes.com/part/view/DMN2005K" TargetMode="External"/><Relationship Id="rId_hyperlink_560" Type="http://schemas.openxmlformats.org/officeDocument/2006/relationships/hyperlink" Target="https://www.diodes.com/assets/Datasheets/ds30734.pdf" TargetMode="External"/><Relationship Id="rId_hyperlink_561" Type="http://schemas.openxmlformats.org/officeDocument/2006/relationships/hyperlink" Target="https://www.diodes.com/part/view/DMN2005LP4K" TargetMode="External"/><Relationship Id="rId_hyperlink_562" Type="http://schemas.openxmlformats.org/officeDocument/2006/relationships/hyperlink" Target="https://www.diodes.com/assets/Datasheets/ds30799.pdf" TargetMode="External"/><Relationship Id="rId_hyperlink_563" Type="http://schemas.openxmlformats.org/officeDocument/2006/relationships/hyperlink" Target="https://www.diodes.com/part/view/DMN2005LPK" TargetMode="External"/><Relationship Id="rId_hyperlink_564" Type="http://schemas.openxmlformats.org/officeDocument/2006/relationships/hyperlink" Target="https://www.diodes.com/assets/Datasheets/ds30836.pdf" TargetMode="External"/><Relationship Id="rId_hyperlink_565" Type="http://schemas.openxmlformats.org/officeDocument/2006/relationships/hyperlink" Target="https://www.diodes.com/part/view/DMN2005UFG" TargetMode="External"/><Relationship Id="rId_hyperlink_566" Type="http://schemas.openxmlformats.org/officeDocument/2006/relationships/hyperlink" Target="https://www.diodes.com/assets/Datasheets/DMN2005UFG.pdf" TargetMode="External"/><Relationship Id="rId_hyperlink_567" Type="http://schemas.openxmlformats.org/officeDocument/2006/relationships/hyperlink" Target="https://www.diodes.com/part/view/DMN2005UFGQ" TargetMode="External"/><Relationship Id="rId_hyperlink_568" Type="http://schemas.openxmlformats.org/officeDocument/2006/relationships/hyperlink" Target="https://www.diodes.com/assets/Datasheets/DMN2005UFGQ.pdf" TargetMode="External"/><Relationship Id="rId_hyperlink_569" Type="http://schemas.openxmlformats.org/officeDocument/2006/relationships/hyperlink" Target="https://www.diodes.com/part/view/DMN2005UPS" TargetMode="External"/><Relationship Id="rId_hyperlink_570" Type="http://schemas.openxmlformats.org/officeDocument/2006/relationships/hyperlink" Target="https://www.diodes.com/assets/Datasheets/DMN2005UPS.pdf" TargetMode="External"/><Relationship Id="rId_hyperlink_571" Type="http://schemas.openxmlformats.org/officeDocument/2006/relationships/hyperlink" Target="https://www.diodes.com/part/view/DMN2008LFU" TargetMode="External"/><Relationship Id="rId_hyperlink_572" Type="http://schemas.openxmlformats.org/officeDocument/2006/relationships/hyperlink" Target="https://www.diodes.com/assets/Datasheets/DMN2008LFU.pdf" TargetMode="External"/><Relationship Id="rId_hyperlink_573" Type="http://schemas.openxmlformats.org/officeDocument/2006/relationships/hyperlink" Target="https://www.diodes.com/part/view/DMN2009LSS" TargetMode="External"/><Relationship Id="rId_hyperlink_574" Type="http://schemas.openxmlformats.org/officeDocument/2006/relationships/hyperlink" Target="https://www.diodes.com/assets/Datasheets/ds31409.pdf" TargetMode="External"/><Relationship Id="rId_hyperlink_575" Type="http://schemas.openxmlformats.org/officeDocument/2006/relationships/hyperlink" Target="https://www.diodes.com/part/view/DMN2009UCA4" TargetMode="External"/><Relationship Id="rId_hyperlink_576" Type="http://schemas.openxmlformats.org/officeDocument/2006/relationships/hyperlink" Target="https://www.diodes.com/assets/Datasheets/DMN2009UCA4.pdf" TargetMode="External"/><Relationship Id="rId_hyperlink_577" Type="http://schemas.openxmlformats.org/officeDocument/2006/relationships/hyperlink" Target="https://www.diodes.com/part/view/DMN2009UFDF" TargetMode="External"/><Relationship Id="rId_hyperlink_578" Type="http://schemas.openxmlformats.org/officeDocument/2006/relationships/hyperlink" Target="https://www.diodes.com/assets/Datasheets/DMN2009UFDF.pdf" TargetMode="External"/><Relationship Id="rId_hyperlink_579" Type="http://schemas.openxmlformats.org/officeDocument/2006/relationships/hyperlink" Target="https://www.diodes.com/part/view/DMN2009USS" TargetMode="External"/><Relationship Id="rId_hyperlink_580" Type="http://schemas.openxmlformats.org/officeDocument/2006/relationships/hyperlink" Target="https://www.diodes.com/assets/Datasheets/DMN2009USS.pdf" TargetMode="External"/><Relationship Id="rId_hyperlink_581" Type="http://schemas.openxmlformats.org/officeDocument/2006/relationships/hyperlink" Target="https://www.diodes.com/part/view/DMN2011UCA6" TargetMode="External"/><Relationship Id="rId_hyperlink_582" Type="http://schemas.openxmlformats.org/officeDocument/2006/relationships/hyperlink" Target="https://www.diodes.com/assets/Datasheets/DMN2011UCA6.pdf" TargetMode="External"/><Relationship Id="rId_hyperlink_583" Type="http://schemas.openxmlformats.org/officeDocument/2006/relationships/hyperlink" Target="https://www.diodes.com/part/view/DMN2011UFDE" TargetMode="External"/><Relationship Id="rId_hyperlink_584" Type="http://schemas.openxmlformats.org/officeDocument/2006/relationships/hyperlink" Target="https://www.diodes.com/assets/Datasheets/DMN2011UFDE.pdf" TargetMode="External"/><Relationship Id="rId_hyperlink_585" Type="http://schemas.openxmlformats.org/officeDocument/2006/relationships/hyperlink" Target="https://www.diodes.com/part/view/DMN2011UFDF" TargetMode="External"/><Relationship Id="rId_hyperlink_586" Type="http://schemas.openxmlformats.org/officeDocument/2006/relationships/hyperlink" Target="https://www.diodes.com/assets/Datasheets/DMN2011UFDF.pdf" TargetMode="External"/><Relationship Id="rId_hyperlink_587" Type="http://schemas.openxmlformats.org/officeDocument/2006/relationships/hyperlink" Target="https://www.diodes.com/part/view/DMN2011UFX" TargetMode="External"/><Relationship Id="rId_hyperlink_588" Type="http://schemas.openxmlformats.org/officeDocument/2006/relationships/hyperlink" Target="https://www.diodes.com/assets/Datasheets/DMN2011UFX.pdf" TargetMode="External"/><Relationship Id="rId_hyperlink_589" Type="http://schemas.openxmlformats.org/officeDocument/2006/relationships/hyperlink" Target="https://www.diodes.com/part/view/DMN2011UTS" TargetMode="External"/><Relationship Id="rId_hyperlink_590" Type="http://schemas.openxmlformats.org/officeDocument/2006/relationships/hyperlink" Target="https://www.diodes.com/assets/Datasheets/DMN2011UTS.pdf" TargetMode="External"/><Relationship Id="rId_hyperlink_591" Type="http://schemas.openxmlformats.org/officeDocument/2006/relationships/hyperlink" Target="https://www.diodes.com/part/view/DMN2012UCA6" TargetMode="External"/><Relationship Id="rId_hyperlink_592" Type="http://schemas.openxmlformats.org/officeDocument/2006/relationships/hyperlink" Target="https://www.diodes.com/assets/Datasheets/DMN2012UCA6.pdf" TargetMode="External"/><Relationship Id="rId_hyperlink_593" Type="http://schemas.openxmlformats.org/officeDocument/2006/relationships/hyperlink" Target="https://www.diodes.com/part/view/DMN2013UFDE" TargetMode="External"/><Relationship Id="rId_hyperlink_594" Type="http://schemas.openxmlformats.org/officeDocument/2006/relationships/hyperlink" Target="https://www.diodes.com/assets/Datasheets/DMN2013UFDE.pdf" TargetMode="External"/><Relationship Id="rId_hyperlink_595" Type="http://schemas.openxmlformats.org/officeDocument/2006/relationships/hyperlink" Target="https://www.diodes.com/part/view/DMN2013UFDEQ" TargetMode="External"/><Relationship Id="rId_hyperlink_596" Type="http://schemas.openxmlformats.org/officeDocument/2006/relationships/hyperlink" Target="https://www.diodes.com/assets/Datasheets/DMN2013UFDEQ.pdf" TargetMode="External"/><Relationship Id="rId_hyperlink_597" Type="http://schemas.openxmlformats.org/officeDocument/2006/relationships/hyperlink" Target="https://www.diodes.com/part/view/DMN2013UFX" TargetMode="External"/><Relationship Id="rId_hyperlink_598" Type="http://schemas.openxmlformats.org/officeDocument/2006/relationships/hyperlink" Target="https://www.diodes.com/assets/Datasheets/DMN2013UFX.pdf" TargetMode="External"/><Relationship Id="rId_hyperlink_599" Type="http://schemas.openxmlformats.org/officeDocument/2006/relationships/hyperlink" Target="https://www.diodes.com/part/view/DMN2014LHAB" TargetMode="External"/><Relationship Id="rId_hyperlink_600" Type="http://schemas.openxmlformats.org/officeDocument/2006/relationships/hyperlink" Target="https://www.diodes.com/assets/Datasheets/DMN2014LHAB.pdf" TargetMode="External"/><Relationship Id="rId_hyperlink_601" Type="http://schemas.openxmlformats.org/officeDocument/2006/relationships/hyperlink" Target="https://www.diodes.com/part/view/DMN2015UFDE" TargetMode="External"/><Relationship Id="rId_hyperlink_602" Type="http://schemas.openxmlformats.org/officeDocument/2006/relationships/hyperlink" Target="https://www.diodes.com/assets/Datasheets/DMN2015UFDE.pdf" TargetMode="External"/><Relationship Id="rId_hyperlink_603" Type="http://schemas.openxmlformats.org/officeDocument/2006/relationships/hyperlink" Target="https://www.diodes.com/part/view/DMN2015UFDF" TargetMode="External"/><Relationship Id="rId_hyperlink_604" Type="http://schemas.openxmlformats.org/officeDocument/2006/relationships/hyperlink" Target="https://www.diodes.com/assets/Datasheets/DMN2015UFDF.pdf" TargetMode="External"/><Relationship Id="rId_hyperlink_605" Type="http://schemas.openxmlformats.org/officeDocument/2006/relationships/hyperlink" Target="https://www.diodes.com/part/view/DMN2016LFG" TargetMode="External"/><Relationship Id="rId_hyperlink_606" Type="http://schemas.openxmlformats.org/officeDocument/2006/relationships/hyperlink" Target="https://www.diodes.com/assets/Datasheets/ds32053.pdf" TargetMode="External"/><Relationship Id="rId_hyperlink_607" Type="http://schemas.openxmlformats.org/officeDocument/2006/relationships/hyperlink" Target="https://www.diodes.com/part/view/DMN2016LHAB" TargetMode="External"/><Relationship Id="rId_hyperlink_608" Type="http://schemas.openxmlformats.org/officeDocument/2006/relationships/hyperlink" Target="https://www.diodes.com/assets/Datasheets/DMN2016LHAB.pdf" TargetMode="External"/><Relationship Id="rId_hyperlink_609" Type="http://schemas.openxmlformats.org/officeDocument/2006/relationships/hyperlink" Target="https://www.diodes.com/part/view/DMN2016UFX" TargetMode="External"/><Relationship Id="rId_hyperlink_610" Type="http://schemas.openxmlformats.org/officeDocument/2006/relationships/hyperlink" Target="https://www.diodes.com/assets/Datasheets/DMN2016UFX.pdf" TargetMode="External"/><Relationship Id="rId_hyperlink_611" Type="http://schemas.openxmlformats.org/officeDocument/2006/relationships/hyperlink" Target="https://www.diodes.com/part/view/DMN2016UTS" TargetMode="External"/><Relationship Id="rId_hyperlink_612" Type="http://schemas.openxmlformats.org/officeDocument/2006/relationships/hyperlink" Target="https://www.diodes.com/assets/Datasheets/ds31995.pdf" TargetMode="External"/><Relationship Id="rId_hyperlink_613" Type="http://schemas.openxmlformats.org/officeDocument/2006/relationships/hyperlink" Target="https://www.diodes.com/part/view/DMN2019UTS" TargetMode="External"/><Relationship Id="rId_hyperlink_614" Type="http://schemas.openxmlformats.org/officeDocument/2006/relationships/hyperlink" Target="https://www.diodes.com/assets/Datasheets/DMN2019UTS.pdf" TargetMode="External"/><Relationship Id="rId_hyperlink_615" Type="http://schemas.openxmlformats.org/officeDocument/2006/relationships/hyperlink" Target="https://www.diodes.com/part/view/DMN2020LSN" TargetMode="External"/><Relationship Id="rId_hyperlink_616" Type="http://schemas.openxmlformats.org/officeDocument/2006/relationships/hyperlink" Target="https://www.diodes.com/assets/Datasheets/ds31946.pdf" TargetMode="External"/><Relationship Id="rId_hyperlink_617" Type="http://schemas.openxmlformats.org/officeDocument/2006/relationships/hyperlink" Target="https://www.diodes.com/part/view/DMN2020UFCL" TargetMode="External"/><Relationship Id="rId_hyperlink_618" Type="http://schemas.openxmlformats.org/officeDocument/2006/relationships/hyperlink" Target="https://www.diodes.com/assets/Datasheets/DMN2020UFCL.pdf" TargetMode="External"/><Relationship Id="rId_hyperlink_619" Type="http://schemas.openxmlformats.org/officeDocument/2006/relationships/hyperlink" Target="https://www.diodes.com/part/view/DMN2022UCA4" TargetMode="External"/><Relationship Id="rId_hyperlink_620" Type="http://schemas.openxmlformats.org/officeDocument/2006/relationships/hyperlink" Target="https://www.diodes.com/assets/Datasheets/DMN2022UCA4.pdf" TargetMode="External"/><Relationship Id="rId_hyperlink_621" Type="http://schemas.openxmlformats.org/officeDocument/2006/relationships/hyperlink" Target="https://www.diodes.com/part/view/DMN2022UFDF" TargetMode="External"/><Relationship Id="rId_hyperlink_622" Type="http://schemas.openxmlformats.org/officeDocument/2006/relationships/hyperlink" Target="https://www.diodes.com/assets/Datasheets/DMN2022UFDF.pdf" TargetMode="External"/><Relationship Id="rId_hyperlink_623" Type="http://schemas.openxmlformats.org/officeDocument/2006/relationships/hyperlink" Target="https://www.diodes.com/part/view/DMN2022UNS" TargetMode="External"/><Relationship Id="rId_hyperlink_624" Type="http://schemas.openxmlformats.org/officeDocument/2006/relationships/hyperlink" Target="https://www.diodes.com/assets/Datasheets/DMN2022UNS.pdf" TargetMode="External"/><Relationship Id="rId_hyperlink_625" Type="http://schemas.openxmlformats.org/officeDocument/2006/relationships/hyperlink" Target="https://www.diodes.com/part/view/DMN2023UCB4" TargetMode="External"/><Relationship Id="rId_hyperlink_626" Type="http://schemas.openxmlformats.org/officeDocument/2006/relationships/hyperlink" Target="https://www.diodes.com/assets/Datasheets/DMN2023UCB4.pdf" TargetMode="External"/><Relationship Id="rId_hyperlink_627" Type="http://schemas.openxmlformats.org/officeDocument/2006/relationships/hyperlink" Target="https://www.diodes.com/part/view/DMN2024LCA4" TargetMode="External"/><Relationship Id="rId_hyperlink_628" Type="http://schemas.openxmlformats.org/officeDocument/2006/relationships/hyperlink" Target="https://www.diodes.com/assets/Datasheets/DMN2024LCA4.pdf" TargetMode="External"/><Relationship Id="rId_hyperlink_629" Type="http://schemas.openxmlformats.org/officeDocument/2006/relationships/hyperlink" Target="https://www.diodes.com/part/view/DMN2024U" TargetMode="External"/><Relationship Id="rId_hyperlink_630" Type="http://schemas.openxmlformats.org/officeDocument/2006/relationships/hyperlink" Target="https://www.diodes.com/assets/Datasheets/DMN2024U.pdf" TargetMode="External"/><Relationship Id="rId_hyperlink_631" Type="http://schemas.openxmlformats.org/officeDocument/2006/relationships/hyperlink" Target="https://www.diodes.com/part/view/DMN2024UDH" TargetMode="External"/><Relationship Id="rId_hyperlink_632" Type="http://schemas.openxmlformats.org/officeDocument/2006/relationships/hyperlink" Target="https://www.diodes.com/assets/Datasheets/DMN2024UDH.pdf" TargetMode="External"/><Relationship Id="rId_hyperlink_633" Type="http://schemas.openxmlformats.org/officeDocument/2006/relationships/hyperlink" Target="https://www.diodes.com/part/view/DMN2024UFDF" TargetMode="External"/><Relationship Id="rId_hyperlink_634" Type="http://schemas.openxmlformats.org/officeDocument/2006/relationships/hyperlink" Target="https://www.diodes.com/assets/Datasheets/DMN2024UFDF.pdf" TargetMode="External"/><Relationship Id="rId_hyperlink_635" Type="http://schemas.openxmlformats.org/officeDocument/2006/relationships/hyperlink" Target="https://www.diodes.com/part/view/DMN2024UFU" TargetMode="External"/><Relationship Id="rId_hyperlink_636" Type="http://schemas.openxmlformats.org/officeDocument/2006/relationships/hyperlink" Target="https://www.diodes.com/assets/Datasheets/DMN2024UFU.pdf" TargetMode="External"/><Relationship Id="rId_hyperlink_637" Type="http://schemas.openxmlformats.org/officeDocument/2006/relationships/hyperlink" Target="https://www.diodes.com/part/view/DMN2024UFX" TargetMode="External"/><Relationship Id="rId_hyperlink_638" Type="http://schemas.openxmlformats.org/officeDocument/2006/relationships/hyperlink" Target="https://www.diodes.com/assets/Datasheets/DMN2024UFX.pdf" TargetMode="External"/><Relationship Id="rId_hyperlink_639" Type="http://schemas.openxmlformats.org/officeDocument/2006/relationships/hyperlink" Target="https://www.diodes.com/part/view/DMN2024UQ" TargetMode="External"/><Relationship Id="rId_hyperlink_640" Type="http://schemas.openxmlformats.org/officeDocument/2006/relationships/hyperlink" Target="https://www.diodes.com/assets/Datasheets/DMN2024UQ.pdf" TargetMode="External"/><Relationship Id="rId_hyperlink_641" Type="http://schemas.openxmlformats.org/officeDocument/2006/relationships/hyperlink" Target="https://www.diodes.com/part/view/DMN2024UTS" TargetMode="External"/><Relationship Id="rId_hyperlink_642" Type="http://schemas.openxmlformats.org/officeDocument/2006/relationships/hyperlink" Target="https://www.diodes.com/assets/Datasheets/DMN2024UTS.pdf" TargetMode="External"/><Relationship Id="rId_hyperlink_643" Type="http://schemas.openxmlformats.org/officeDocument/2006/relationships/hyperlink" Target="https://www.diodes.com/part/view/DMN2024UVT" TargetMode="External"/><Relationship Id="rId_hyperlink_644" Type="http://schemas.openxmlformats.org/officeDocument/2006/relationships/hyperlink" Target="https://www.diodes.com/assets/Datasheets/DMN2024UVT.pdf" TargetMode="External"/><Relationship Id="rId_hyperlink_645" Type="http://schemas.openxmlformats.org/officeDocument/2006/relationships/hyperlink" Target="https://www.diodes.com/part/view/DMN2024UVTQ" TargetMode="External"/><Relationship Id="rId_hyperlink_646" Type="http://schemas.openxmlformats.org/officeDocument/2006/relationships/hyperlink" Target="https://www.diodes.com/assets/Datasheets/DMN2024UVTQ.pdf" TargetMode="External"/><Relationship Id="rId_hyperlink_647" Type="http://schemas.openxmlformats.org/officeDocument/2006/relationships/hyperlink" Target="https://www.diodes.com/part/view/DMN2025U" TargetMode="External"/><Relationship Id="rId_hyperlink_648" Type="http://schemas.openxmlformats.org/officeDocument/2006/relationships/hyperlink" Target="https://www.diodes.com/assets/Datasheets/DMN2025U.pdf" TargetMode="External"/><Relationship Id="rId_hyperlink_649" Type="http://schemas.openxmlformats.org/officeDocument/2006/relationships/hyperlink" Target="https://www.diodes.com/part/view/DMN2025UFDB" TargetMode="External"/><Relationship Id="rId_hyperlink_650" Type="http://schemas.openxmlformats.org/officeDocument/2006/relationships/hyperlink" Target="https://www.diodes.com/assets/Datasheets/DMN2025UFDB.pdf" TargetMode="External"/><Relationship Id="rId_hyperlink_651" Type="http://schemas.openxmlformats.org/officeDocument/2006/relationships/hyperlink" Target="https://www.diodes.com/part/view/DMN2025UFDF" TargetMode="External"/><Relationship Id="rId_hyperlink_652" Type="http://schemas.openxmlformats.org/officeDocument/2006/relationships/hyperlink" Target="https://www.diodes.com/assets/Datasheets/DMN2025UFDF.pdf" TargetMode="External"/><Relationship Id="rId_hyperlink_653" Type="http://schemas.openxmlformats.org/officeDocument/2006/relationships/hyperlink" Target="https://www.diodes.com/part/view/DMN2026UVT" TargetMode="External"/><Relationship Id="rId_hyperlink_654" Type="http://schemas.openxmlformats.org/officeDocument/2006/relationships/hyperlink" Target="https://www.diodes.com/assets/Datasheets/DMN2026UVT.pdf" TargetMode="External"/><Relationship Id="rId_hyperlink_655" Type="http://schemas.openxmlformats.org/officeDocument/2006/relationships/hyperlink" Target="https://www.diodes.com/part/view/DMN2027UPS" TargetMode="External"/><Relationship Id="rId_hyperlink_656" Type="http://schemas.openxmlformats.org/officeDocument/2006/relationships/hyperlink" Target="https://www.diodes.com/assets/Datasheets/DMN2027UPS.pdf" TargetMode="External"/><Relationship Id="rId_hyperlink_657" Type="http://schemas.openxmlformats.org/officeDocument/2006/relationships/hyperlink" Target="https://www.diodes.com/part/view/DMN2027USS" TargetMode="External"/><Relationship Id="rId_hyperlink_658" Type="http://schemas.openxmlformats.org/officeDocument/2006/relationships/hyperlink" Target="https://www.diodes.com/assets/Datasheets/DMN2027USS.pdf" TargetMode="External"/><Relationship Id="rId_hyperlink_659" Type="http://schemas.openxmlformats.org/officeDocument/2006/relationships/hyperlink" Target="https://www.diodes.com/part/view/DMN2028UFDF" TargetMode="External"/><Relationship Id="rId_hyperlink_660" Type="http://schemas.openxmlformats.org/officeDocument/2006/relationships/hyperlink" Target="https://www.diodes.com/assets/Datasheets/DMN2028UFDF.pdf" TargetMode="External"/><Relationship Id="rId_hyperlink_661" Type="http://schemas.openxmlformats.org/officeDocument/2006/relationships/hyperlink" Target="https://www.diodes.com/part/view/DMN2028UFDH" TargetMode="External"/><Relationship Id="rId_hyperlink_662" Type="http://schemas.openxmlformats.org/officeDocument/2006/relationships/hyperlink" Target="https://www.diodes.com/assets/Datasheets/DMN2028UFDH.pdf" TargetMode="External"/><Relationship Id="rId_hyperlink_663" Type="http://schemas.openxmlformats.org/officeDocument/2006/relationships/hyperlink" Target="https://www.diodes.com/part/view/DMN2028UFU" TargetMode="External"/><Relationship Id="rId_hyperlink_664" Type="http://schemas.openxmlformats.org/officeDocument/2006/relationships/hyperlink" Target="https://www.diodes.com/assets/Datasheets/DMN2028UFU.pdf" TargetMode="External"/><Relationship Id="rId_hyperlink_665" Type="http://schemas.openxmlformats.org/officeDocument/2006/relationships/hyperlink" Target="https://www.diodes.com/part/view/DMN2028USS" TargetMode="External"/><Relationship Id="rId_hyperlink_666" Type="http://schemas.openxmlformats.org/officeDocument/2006/relationships/hyperlink" Target="https://www.diodes.com/assets/Datasheets/DMN2028USS.pdf" TargetMode="External"/><Relationship Id="rId_hyperlink_667" Type="http://schemas.openxmlformats.org/officeDocument/2006/relationships/hyperlink" Target="https://www.diodes.com/part/view/DMN2028UVT" TargetMode="External"/><Relationship Id="rId_hyperlink_668" Type="http://schemas.openxmlformats.org/officeDocument/2006/relationships/hyperlink" Target="https://www.diodes.com/assets/Datasheets/DMN2028UVT.pdf" TargetMode="External"/><Relationship Id="rId_hyperlink_669" Type="http://schemas.openxmlformats.org/officeDocument/2006/relationships/hyperlink" Target="https://www.diodes.com/part/view/DMN2029USD" TargetMode="External"/><Relationship Id="rId_hyperlink_670" Type="http://schemas.openxmlformats.org/officeDocument/2006/relationships/hyperlink" Target="https://www.diodes.com/assets/Datasheets/DMN2029USD.pdf" TargetMode="External"/><Relationship Id="rId_hyperlink_671" Type="http://schemas.openxmlformats.org/officeDocument/2006/relationships/hyperlink" Target="https://www.diodes.com/part/view/DMN2029UVT" TargetMode="External"/><Relationship Id="rId_hyperlink_672" Type="http://schemas.openxmlformats.org/officeDocument/2006/relationships/hyperlink" Target="https://www.diodes.com/assets/Datasheets/DMN2029UVT.pdf" TargetMode="External"/><Relationship Id="rId_hyperlink_673" Type="http://schemas.openxmlformats.org/officeDocument/2006/relationships/hyperlink" Target="https://www.diodes.com/part/view/DMN2030UCA4" TargetMode="External"/><Relationship Id="rId_hyperlink_674" Type="http://schemas.openxmlformats.org/officeDocument/2006/relationships/hyperlink" Target="https://www.diodes.com/assets/Datasheets/DMN2030UCA4.pdf" TargetMode="External"/><Relationship Id="rId_hyperlink_675" Type="http://schemas.openxmlformats.org/officeDocument/2006/relationships/hyperlink" Target="https://www.diodes.com/part/view/DMN2036UCB4" TargetMode="External"/><Relationship Id="rId_hyperlink_676" Type="http://schemas.openxmlformats.org/officeDocument/2006/relationships/hyperlink" Target="https://www.diodes.com/assets/Datasheets/DMN2036UCB4.pdf" TargetMode="External"/><Relationship Id="rId_hyperlink_677" Type="http://schemas.openxmlformats.org/officeDocument/2006/relationships/hyperlink" Target="https://www.diodes.com/part/view/DMN2040LTS" TargetMode="External"/><Relationship Id="rId_hyperlink_678" Type="http://schemas.openxmlformats.org/officeDocument/2006/relationships/hyperlink" Target="https://www.diodes.com/assets/Datasheets/ds31941.pdf" TargetMode="External"/><Relationship Id="rId_hyperlink_679" Type="http://schemas.openxmlformats.org/officeDocument/2006/relationships/hyperlink" Target="https://www.diodes.com/part/view/DMN2040U" TargetMode="External"/><Relationship Id="rId_hyperlink_680" Type="http://schemas.openxmlformats.org/officeDocument/2006/relationships/hyperlink" Target="https://www.diodes.com/assets/Datasheets/DMN2040U.pdf" TargetMode="External"/><Relationship Id="rId_hyperlink_681" Type="http://schemas.openxmlformats.org/officeDocument/2006/relationships/hyperlink" Target="https://www.diodes.com/part/view/DMN2040UQ" TargetMode="External"/><Relationship Id="rId_hyperlink_682" Type="http://schemas.openxmlformats.org/officeDocument/2006/relationships/hyperlink" Target="https://www.diodes.com/assets/Datasheets/DMN2040UQ.pdf" TargetMode="External"/><Relationship Id="rId_hyperlink_683" Type="http://schemas.openxmlformats.org/officeDocument/2006/relationships/hyperlink" Target="https://www.diodes.com/part/view/DMN2040UVT" TargetMode="External"/><Relationship Id="rId_hyperlink_684" Type="http://schemas.openxmlformats.org/officeDocument/2006/relationships/hyperlink" Target="https://www.diodes.com/assets/Datasheets/DMN2040UVT.pdf" TargetMode="External"/><Relationship Id="rId_hyperlink_685" Type="http://schemas.openxmlformats.org/officeDocument/2006/relationships/hyperlink" Target="https://www.diodes.com/part/view/DMN2041LSD" TargetMode="External"/><Relationship Id="rId_hyperlink_686" Type="http://schemas.openxmlformats.org/officeDocument/2006/relationships/hyperlink" Target="https://www.diodes.com/assets/Datasheets/ds31964.pdf" TargetMode="External"/><Relationship Id="rId_hyperlink_687" Type="http://schemas.openxmlformats.org/officeDocument/2006/relationships/hyperlink" Target="https://www.diodes.com/part/view/DMN2041UFDB" TargetMode="External"/><Relationship Id="rId_hyperlink_688" Type="http://schemas.openxmlformats.org/officeDocument/2006/relationships/hyperlink" Target="https://www.diodes.com/assets/Datasheets/DMN2041UFDB.pdf" TargetMode="External"/><Relationship Id="rId_hyperlink_689" Type="http://schemas.openxmlformats.org/officeDocument/2006/relationships/hyperlink" Target="https://www.diodes.com/part/view/DMN2041UVT" TargetMode="External"/><Relationship Id="rId_hyperlink_690" Type="http://schemas.openxmlformats.org/officeDocument/2006/relationships/hyperlink" Target="https://www.diodes.com/assets/Datasheets/DMN2041UVT.pdf" TargetMode="External"/><Relationship Id="rId_hyperlink_691" Type="http://schemas.openxmlformats.org/officeDocument/2006/relationships/hyperlink" Target="https://www.diodes.com/part/view/DMN2044UCB4" TargetMode="External"/><Relationship Id="rId_hyperlink_692" Type="http://schemas.openxmlformats.org/officeDocument/2006/relationships/hyperlink" Target="https://www.diodes.com/assets/Datasheets/DMN2044UCB4.pdf" TargetMode="External"/><Relationship Id="rId_hyperlink_693" Type="http://schemas.openxmlformats.org/officeDocument/2006/relationships/hyperlink" Target="https://www.diodes.com/part/view/DMN2046U" TargetMode="External"/><Relationship Id="rId_hyperlink_694" Type="http://schemas.openxmlformats.org/officeDocument/2006/relationships/hyperlink" Target="https://www.diodes.com/assets/Datasheets/DMN2046U.pdf" TargetMode="External"/><Relationship Id="rId_hyperlink_695" Type="http://schemas.openxmlformats.org/officeDocument/2006/relationships/hyperlink" Target="https://www.diodes.com/part/view/DMN2046UVT" TargetMode="External"/><Relationship Id="rId_hyperlink_696" Type="http://schemas.openxmlformats.org/officeDocument/2006/relationships/hyperlink" Target="https://www.diodes.com/assets/Datasheets/DMN2046UVT.pdf" TargetMode="External"/><Relationship Id="rId_hyperlink_697" Type="http://schemas.openxmlformats.org/officeDocument/2006/relationships/hyperlink" Target="https://www.diodes.com/part/view/DMN2046UW" TargetMode="External"/><Relationship Id="rId_hyperlink_698" Type="http://schemas.openxmlformats.org/officeDocument/2006/relationships/hyperlink" Target="https://www.diodes.com/assets/Datasheets/DMN2046UW.pdf" TargetMode="External"/><Relationship Id="rId_hyperlink_699" Type="http://schemas.openxmlformats.org/officeDocument/2006/relationships/hyperlink" Target="https://www.diodes.com/part/view/DMN2050L" TargetMode="External"/><Relationship Id="rId_hyperlink_700" Type="http://schemas.openxmlformats.org/officeDocument/2006/relationships/hyperlink" Target="https://www.diodes.com/assets/Datasheets/ds31502.pdf" TargetMode="External"/><Relationship Id="rId_hyperlink_701" Type="http://schemas.openxmlformats.org/officeDocument/2006/relationships/hyperlink" Target="https://www.diodes.com/part/view/DMN2050LFDB" TargetMode="External"/><Relationship Id="rId_hyperlink_702" Type="http://schemas.openxmlformats.org/officeDocument/2006/relationships/hyperlink" Target="https://www.diodes.com/assets/Datasheets/DMN2050LFDB.pdf" TargetMode="External"/><Relationship Id="rId_hyperlink_703" Type="http://schemas.openxmlformats.org/officeDocument/2006/relationships/hyperlink" Target="https://www.diodes.com/part/view/DMN2050LQ" TargetMode="External"/><Relationship Id="rId_hyperlink_704" Type="http://schemas.openxmlformats.org/officeDocument/2006/relationships/hyperlink" Target="https://www.diodes.com/assets/Datasheets/DMN2050LQ.pdf" TargetMode="External"/><Relationship Id="rId_hyperlink_705" Type="http://schemas.openxmlformats.org/officeDocument/2006/relationships/hyperlink" Target="https://www.diodes.com/part/view/DMN2053U" TargetMode="External"/><Relationship Id="rId_hyperlink_706" Type="http://schemas.openxmlformats.org/officeDocument/2006/relationships/hyperlink" Target="https://www.diodes.com/assets/Datasheets/DMN2053U.pdf" TargetMode="External"/><Relationship Id="rId_hyperlink_707" Type="http://schemas.openxmlformats.org/officeDocument/2006/relationships/hyperlink" Target="https://www.diodes.com/part/view/DMN2053UFDB" TargetMode="External"/><Relationship Id="rId_hyperlink_708" Type="http://schemas.openxmlformats.org/officeDocument/2006/relationships/hyperlink" Target="https://www.diodes.com/assets/Datasheets/DMN2053UFDB.pdf" TargetMode="External"/><Relationship Id="rId_hyperlink_709" Type="http://schemas.openxmlformats.org/officeDocument/2006/relationships/hyperlink" Target="https://www.diodes.com/part/view/DMN2053UFDBQ" TargetMode="External"/><Relationship Id="rId_hyperlink_710" Type="http://schemas.openxmlformats.org/officeDocument/2006/relationships/hyperlink" Target="https://www.diodes.com/assets/Datasheets/DMN2053UFDBQ.pdf" TargetMode="External"/><Relationship Id="rId_hyperlink_711" Type="http://schemas.openxmlformats.org/officeDocument/2006/relationships/hyperlink" Target="https://www.diodes.com/part/view/DMN2053UQ" TargetMode="External"/><Relationship Id="rId_hyperlink_712" Type="http://schemas.openxmlformats.org/officeDocument/2006/relationships/hyperlink" Target="https://www.diodes.com/assets/Datasheets/DMN2053UQ.pdf" TargetMode="External"/><Relationship Id="rId_hyperlink_713" Type="http://schemas.openxmlformats.org/officeDocument/2006/relationships/hyperlink" Target="https://www.diodes.com/part/view/DMN2053UVT" TargetMode="External"/><Relationship Id="rId_hyperlink_714" Type="http://schemas.openxmlformats.org/officeDocument/2006/relationships/hyperlink" Target="https://www.diodes.com/assets/Datasheets/DMN2053UVT.pdf" TargetMode="External"/><Relationship Id="rId_hyperlink_715" Type="http://schemas.openxmlformats.org/officeDocument/2006/relationships/hyperlink" Target="https://www.diodes.com/part/view/DMN2053UVTQ" TargetMode="External"/><Relationship Id="rId_hyperlink_716" Type="http://schemas.openxmlformats.org/officeDocument/2006/relationships/hyperlink" Target="https://www.diodes.com/assets/Datasheets/DMN2053UVTQ.pdf" TargetMode="External"/><Relationship Id="rId_hyperlink_717" Type="http://schemas.openxmlformats.org/officeDocument/2006/relationships/hyperlink" Target="https://www.diodes.com/part/view/DMN2053UW" TargetMode="External"/><Relationship Id="rId_hyperlink_718" Type="http://schemas.openxmlformats.org/officeDocument/2006/relationships/hyperlink" Target="https://www.diodes.com/assets/Datasheets/DMN2053UW.pdf" TargetMode="External"/><Relationship Id="rId_hyperlink_719" Type="http://schemas.openxmlformats.org/officeDocument/2006/relationships/hyperlink" Target="https://www.diodes.com/part/view/DMN2053UWQ" TargetMode="External"/><Relationship Id="rId_hyperlink_720" Type="http://schemas.openxmlformats.org/officeDocument/2006/relationships/hyperlink" Target="https://www.diodes.com/assets/Datasheets/DMN2053UWQ.pdf" TargetMode="External"/><Relationship Id="rId_hyperlink_721" Type="http://schemas.openxmlformats.org/officeDocument/2006/relationships/hyperlink" Target="https://www.diodes.com/part/view/DMN2055U" TargetMode="External"/><Relationship Id="rId_hyperlink_722" Type="http://schemas.openxmlformats.org/officeDocument/2006/relationships/hyperlink" Target="https://www.diodes.com/assets/Datasheets/DMN2055U.pdf" TargetMode="External"/><Relationship Id="rId_hyperlink_723" Type="http://schemas.openxmlformats.org/officeDocument/2006/relationships/hyperlink" Target="https://www.diodes.com/part/view/DMN2055UQ" TargetMode="External"/><Relationship Id="rId_hyperlink_724" Type="http://schemas.openxmlformats.org/officeDocument/2006/relationships/hyperlink" Target="https://www.diodes.com/assets/Datasheets/DMN2055UQ.pdf" TargetMode="External"/><Relationship Id="rId_hyperlink_725" Type="http://schemas.openxmlformats.org/officeDocument/2006/relationships/hyperlink" Target="https://www.diodes.com/part/view/DMN2055UW" TargetMode="External"/><Relationship Id="rId_hyperlink_726" Type="http://schemas.openxmlformats.org/officeDocument/2006/relationships/hyperlink" Target="https://www.diodes.com/assets/Datasheets/DMN2055UW.pdf" TargetMode="External"/><Relationship Id="rId_hyperlink_727" Type="http://schemas.openxmlformats.org/officeDocument/2006/relationships/hyperlink" Target="https://www.diodes.com/part/view/DMN2055UWQ" TargetMode="External"/><Relationship Id="rId_hyperlink_728" Type="http://schemas.openxmlformats.org/officeDocument/2006/relationships/hyperlink" Target="https://www.diodes.com/assets/Datasheets/DMN2055UWQ.pdf" TargetMode="External"/><Relationship Id="rId_hyperlink_729" Type="http://schemas.openxmlformats.org/officeDocument/2006/relationships/hyperlink" Target="https://www.diodes.com/part/view/DMN2056U" TargetMode="External"/><Relationship Id="rId_hyperlink_730" Type="http://schemas.openxmlformats.org/officeDocument/2006/relationships/hyperlink" Target="https://www.diodes.com/assets/Datasheets/DMN2056U.pdf" TargetMode="External"/><Relationship Id="rId_hyperlink_731" Type="http://schemas.openxmlformats.org/officeDocument/2006/relationships/hyperlink" Target="https://www.diodes.com/part/view/DMN2058U" TargetMode="External"/><Relationship Id="rId_hyperlink_732" Type="http://schemas.openxmlformats.org/officeDocument/2006/relationships/hyperlink" Target="https://www.diodes.com/assets/Datasheets/DMN2058U.pdf" TargetMode="External"/><Relationship Id="rId_hyperlink_733" Type="http://schemas.openxmlformats.org/officeDocument/2006/relationships/hyperlink" Target="https://www.diodes.com/part/view/DMN2058UW" TargetMode="External"/><Relationship Id="rId_hyperlink_734" Type="http://schemas.openxmlformats.org/officeDocument/2006/relationships/hyperlink" Target="https://www.diodes.com/assets/Datasheets/DMN2058UW.pdf" TargetMode="External"/><Relationship Id="rId_hyperlink_735" Type="http://schemas.openxmlformats.org/officeDocument/2006/relationships/hyperlink" Target="https://www.diodes.com/part/view/DMN2075U" TargetMode="External"/><Relationship Id="rId_hyperlink_736" Type="http://schemas.openxmlformats.org/officeDocument/2006/relationships/hyperlink" Target="https://www.diodes.com/assets/Datasheets/DMN2075U.pdf" TargetMode="External"/><Relationship Id="rId_hyperlink_737" Type="http://schemas.openxmlformats.org/officeDocument/2006/relationships/hyperlink" Target="https://www.diodes.com/part/view/DMN2075UDW" TargetMode="External"/><Relationship Id="rId_hyperlink_738" Type="http://schemas.openxmlformats.org/officeDocument/2006/relationships/hyperlink" Target="https://www.diodes.com/assets/Datasheets/DMN2075UDW.pdf" TargetMode="External"/><Relationship Id="rId_hyperlink_739" Type="http://schemas.openxmlformats.org/officeDocument/2006/relationships/hyperlink" Target="https://www.diodes.com/part/view/DMN2080UCB4" TargetMode="External"/><Relationship Id="rId_hyperlink_740" Type="http://schemas.openxmlformats.org/officeDocument/2006/relationships/hyperlink" Target="https://www.diodes.com/assets/Datasheets/DMN2080UCB4.pdf" TargetMode="External"/><Relationship Id="rId_hyperlink_741" Type="http://schemas.openxmlformats.org/officeDocument/2006/relationships/hyperlink" Target="https://www.diodes.com/part/view/DMN2100UDM" TargetMode="External"/><Relationship Id="rId_hyperlink_742" Type="http://schemas.openxmlformats.org/officeDocument/2006/relationships/hyperlink" Target="https://www.diodes.com/assets/Datasheets/ds31186.pdf" TargetMode="External"/><Relationship Id="rId_hyperlink_743" Type="http://schemas.openxmlformats.org/officeDocument/2006/relationships/hyperlink" Target="https://www.diodes.com/part/view/DMN2120UFCL" TargetMode="External"/><Relationship Id="rId_hyperlink_744" Type="http://schemas.openxmlformats.org/officeDocument/2006/relationships/hyperlink" Target="https://www.diodes.com/assets/Datasheets/DMN2120UFCL.pdf" TargetMode="External"/><Relationship Id="rId_hyperlink_745" Type="http://schemas.openxmlformats.org/officeDocument/2006/relationships/hyperlink" Target="https://www.diodes.com/part/view/DMN21D1UDA" TargetMode="External"/><Relationship Id="rId_hyperlink_746" Type="http://schemas.openxmlformats.org/officeDocument/2006/relationships/hyperlink" Target="https://www.diodes.com/assets/Datasheets/DMN21D1UDA.pdf" TargetMode="External"/><Relationship Id="rId_hyperlink_747" Type="http://schemas.openxmlformats.org/officeDocument/2006/relationships/hyperlink" Target="https://www.diodes.com/part/view/DMN21D2UFB" TargetMode="External"/><Relationship Id="rId_hyperlink_748" Type="http://schemas.openxmlformats.org/officeDocument/2006/relationships/hyperlink" Target="https://www.diodes.com/assets/Datasheets/DMN21D2UFB.pdf" TargetMode="External"/><Relationship Id="rId_hyperlink_749" Type="http://schemas.openxmlformats.org/officeDocument/2006/relationships/hyperlink" Target="https://www.diodes.com/part/view/DMN2250UFB" TargetMode="External"/><Relationship Id="rId_hyperlink_750" Type="http://schemas.openxmlformats.org/officeDocument/2006/relationships/hyperlink" Target="https://www.diodes.com/assets/Datasheets/DMN2250UFB.pdf" TargetMode="External"/><Relationship Id="rId_hyperlink_751" Type="http://schemas.openxmlformats.org/officeDocument/2006/relationships/hyperlink" Target="https://www.diodes.com/part/view/DMN22M5UCA10" TargetMode="External"/><Relationship Id="rId_hyperlink_752" Type="http://schemas.openxmlformats.org/officeDocument/2006/relationships/hyperlink" Target="https://www.diodes.com/assets/Datasheets/DMN22M5UCA10.pdf" TargetMode="External"/><Relationship Id="rId_hyperlink_753" Type="http://schemas.openxmlformats.org/officeDocument/2006/relationships/hyperlink" Target="https://www.diodes.com/part/view/DMN22M5UFG" TargetMode="External"/><Relationship Id="rId_hyperlink_754" Type="http://schemas.openxmlformats.org/officeDocument/2006/relationships/hyperlink" Target="https://www.diodes.com/assets/Datasheets/DMN22M5UFG.pdf" TargetMode="External"/><Relationship Id="rId_hyperlink_755" Type="http://schemas.openxmlformats.org/officeDocument/2006/relationships/hyperlink" Target="https://www.diodes.com/part/view/DMN2300U" TargetMode="External"/><Relationship Id="rId_hyperlink_756" Type="http://schemas.openxmlformats.org/officeDocument/2006/relationships/hyperlink" Target="https://www.diodes.com/assets/Datasheets/DMN2300U.pdf" TargetMode="External"/><Relationship Id="rId_hyperlink_757" Type="http://schemas.openxmlformats.org/officeDocument/2006/relationships/hyperlink" Target="https://www.diodes.com/part/view/DMN2300UFB" TargetMode="External"/><Relationship Id="rId_hyperlink_758" Type="http://schemas.openxmlformats.org/officeDocument/2006/relationships/hyperlink" Target="https://www.diodes.com/assets/Datasheets/DMN2300UFB.pdf" TargetMode="External"/><Relationship Id="rId_hyperlink_759" Type="http://schemas.openxmlformats.org/officeDocument/2006/relationships/hyperlink" Target="https://www.diodes.com/part/view/DMN2300UFB4" TargetMode="External"/><Relationship Id="rId_hyperlink_760" Type="http://schemas.openxmlformats.org/officeDocument/2006/relationships/hyperlink" Target="https://www.diodes.com/assets/Datasheets/DMN2300UFB4.pdf" TargetMode="External"/><Relationship Id="rId_hyperlink_761" Type="http://schemas.openxmlformats.org/officeDocument/2006/relationships/hyperlink" Target="https://www.diodes.com/part/view/DMN2300UFD" TargetMode="External"/><Relationship Id="rId_hyperlink_762" Type="http://schemas.openxmlformats.org/officeDocument/2006/relationships/hyperlink" Target="https://www.diodes.com/assets/Datasheets/DMN2300UFD.pdf" TargetMode="External"/><Relationship Id="rId_hyperlink_763" Type="http://schemas.openxmlformats.org/officeDocument/2006/relationships/hyperlink" Target="https://www.diodes.com/part/view/DMN2300UFL4" TargetMode="External"/><Relationship Id="rId_hyperlink_764" Type="http://schemas.openxmlformats.org/officeDocument/2006/relationships/hyperlink" Target="https://www.diodes.com/assets/Datasheets/DMN2300UFL4.pdf" TargetMode="External"/><Relationship Id="rId_hyperlink_765" Type="http://schemas.openxmlformats.org/officeDocument/2006/relationships/hyperlink" Target="https://www.diodes.com/part/view/DMN2300UFL4Q" TargetMode="External"/><Relationship Id="rId_hyperlink_766" Type="http://schemas.openxmlformats.org/officeDocument/2006/relationships/hyperlink" Target="https://www.diodes.com/assets/Datasheets/DMN2300UFL4Q.pdf" TargetMode="External"/><Relationship Id="rId_hyperlink_767" Type="http://schemas.openxmlformats.org/officeDocument/2006/relationships/hyperlink" Target="https://www.diodes.com/part/view/DMN2310U" TargetMode="External"/><Relationship Id="rId_hyperlink_768" Type="http://schemas.openxmlformats.org/officeDocument/2006/relationships/hyperlink" Target="https://www.diodes.com/assets/Datasheets/DMN2310U.pdf" TargetMode="External"/><Relationship Id="rId_hyperlink_769" Type="http://schemas.openxmlformats.org/officeDocument/2006/relationships/hyperlink" Target="https://www.diodes.com/part/view/DMN2310UFB4" TargetMode="External"/><Relationship Id="rId_hyperlink_770" Type="http://schemas.openxmlformats.org/officeDocument/2006/relationships/hyperlink" Target="https://www.diodes.com/assets/Datasheets/DMN2310UFB4.pdf" TargetMode="External"/><Relationship Id="rId_hyperlink_771" Type="http://schemas.openxmlformats.org/officeDocument/2006/relationships/hyperlink" Target="https://www.diodes.com/part/view/DMN2310UFD" TargetMode="External"/><Relationship Id="rId_hyperlink_772" Type="http://schemas.openxmlformats.org/officeDocument/2006/relationships/hyperlink" Target="https://www.diodes.com/assets/Datasheets/DMN2310UFD.pdf" TargetMode="External"/><Relationship Id="rId_hyperlink_773" Type="http://schemas.openxmlformats.org/officeDocument/2006/relationships/hyperlink" Target="https://www.diodes.com/part/view/DMN2310UT" TargetMode="External"/><Relationship Id="rId_hyperlink_774" Type="http://schemas.openxmlformats.org/officeDocument/2006/relationships/hyperlink" Target="https://www.diodes.com/assets/Datasheets/DMN2310UT.pdf" TargetMode="External"/><Relationship Id="rId_hyperlink_775" Type="http://schemas.openxmlformats.org/officeDocument/2006/relationships/hyperlink" Target="https://www.diodes.com/part/view/DMN2310UTQ" TargetMode="External"/><Relationship Id="rId_hyperlink_776" Type="http://schemas.openxmlformats.org/officeDocument/2006/relationships/hyperlink" Target="https://www.diodes.com/assets/Datasheets/DMN2310UTQ.pdf" TargetMode="External"/><Relationship Id="rId_hyperlink_777" Type="http://schemas.openxmlformats.org/officeDocument/2006/relationships/hyperlink" Target="https://www.diodes.com/part/view/DMN2310UW" TargetMode="External"/><Relationship Id="rId_hyperlink_778" Type="http://schemas.openxmlformats.org/officeDocument/2006/relationships/hyperlink" Target="https://www.diodes.com/assets/Datasheets/DMN2310UW.pdf" TargetMode="External"/><Relationship Id="rId_hyperlink_779" Type="http://schemas.openxmlformats.org/officeDocument/2006/relationships/hyperlink" Target="https://www.diodes.com/part/view/DMN2310UWQ" TargetMode="External"/><Relationship Id="rId_hyperlink_780" Type="http://schemas.openxmlformats.org/officeDocument/2006/relationships/hyperlink" Target="https://www.diodes.com/assets/Datasheets/DMN2310UWQ.pdf" TargetMode="External"/><Relationship Id="rId_hyperlink_781" Type="http://schemas.openxmlformats.org/officeDocument/2006/relationships/hyperlink" Target="https://www.diodes.com/part/view/DMN2320UFB4" TargetMode="External"/><Relationship Id="rId_hyperlink_782" Type="http://schemas.openxmlformats.org/officeDocument/2006/relationships/hyperlink" Target="https://www.diodes.com/assets/Datasheets/DMN2320UFB4.pdf" TargetMode="External"/><Relationship Id="rId_hyperlink_783" Type="http://schemas.openxmlformats.org/officeDocument/2006/relationships/hyperlink" Target="https://www.diodes.com/part/view/DMN2400UFB" TargetMode="External"/><Relationship Id="rId_hyperlink_784" Type="http://schemas.openxmlformats.org/officeDocument/2006/relationships/hyperlink" Target="https://www.diodes.com/assets/Datasheets/ds31963.pdf" TargetMode="External"/><Relationship Id="rId_hyperlink_785" Type="http://schemas.openxmlformats.org/officeDocument/2006/relationships/hyperlink" Target="https://www.diodes.com/part/view/DMN2400UV" TargetMode="External"/><Relationship Id="rId_hyperlink_786" Type="http://schemas.openxmlformats.org/officeDocument/2006/relationships/hyperlink" Target="https://www.diodes.com/assets/Datasheets/ds31852.pdf" TargetMode="External"/><Relationship Id="rId_hyperlink_787" Type="http://schemas.openxmlformats.org/officeDocument/2006/relationships/hyperlink" Target="https://www.diodes.com/part/view/DMN2450UFB4" TargetMode="External"/><Relationship Id="rId_hyperlink_788" Type="http://schemas.openxmlformats.org/officeDocument/2006/relationships/hyperlink" Target="https://www.diodes.com/assets/Datasheets/DMN2450UFB4.pdf" TargetMode="External"/><Relationship Id="rId_hyperlink_789" Type="http://schemas.openxmlformats.org/officeDocument/2006/relationships/hyperlink" Target="https://www.diodes.com/part/view/DMN2450UFB4Q" TargetMode="External"/><Relationship Id="rId_hyperlink_790" Type="http://schemas.openxmlformats.org/officeDocument/2006/relationships/hyperlink" Target="https://www.diodes.com/assets/Datasheets/DMN2450UFB4Q.pdf" TargetMode="External"/><Relationship Id="rId_hyperlink_791" Type="http://schemas.openxmlformats.org/officeDocument/2006/relationships/hyperlink" Target="https://www.diodes.com/part/view/DMN2450UFD" TargetMode="External"/><Relationship Id="rId_hyperlink_792" Type="http://schemas.openxmlformats.org/officeDocument/2006/relationships/hyperlink" Target="https://www.diodes.com/assets/Datasheets/DMN2450UFD.pdf" TargetMode="External"/><Relationship Id="rId_hyperlink_793" Type="http://schemas.openxmlformats.org/officeDocument/2006/relationships/hyperlink" Target="https://www.diodes.com/part/view/DMN2451UFB4" TargetMode="External"/><Relationship Id="rId_hyperlink_794" Type="http://schemas.openxmlformats.org/officeDocument/2006/relationships/hyperlink" Target="https://www.diodes.com/assets/Datasheets/DMN2451UFB4.pdf" TargetMode="External"/><Relationship Id="rId_hyperlink_795" Type="http://schemas.openxmlformats.org/officeDocument/2006/relationships/hyperlink" Target="https://www.diodes.com/part/view/DMN2451UFB4Q" TargetMode="External"/><Relationship Id="rId_hyperlink_796" Type="http://schemas.openxmlformats.org/officeDocument/2006/relationships/hyperlink" Target="https://www.diodes.com/assets/Datasheets/DMN2451UFB4Q.pdf" TargetMode="External"/><Relationship Id="rId_hyperlink_797" Type="http://schemas.openxmlformats.org/officeDocument/2006/relationships/hyperlink" Target="https://www.diodes.com/part/view/DMN2451UFDQ" TargetMode="External"/><Relationship Id="rId_hyperlink_798" Type="http://schemas.openxmlformats.org/officeDocument/2006/relationships/hyperlink" Target="https://www.diodes.com/assets/Datasheets/DMN2451UFDQ.pdf" TargetMode="External"/><Relationship Id="rId_hyperlink_799" Type="http://schemas.openxmlformats.org/officeDocument/2006/relationships/hyperlink" Target="https://www.diodes.com/part/view/DMN24H11DS" TargetMode="External"/><Relationship Id="rId_hyperlink_800" Type="http://schemas.openxmlformats.org/officeDocument/2006/relationships/hyperlink" Target="https://www.diodes.com/assets/Datasheets/DMN24H11DS.pdf" TargetMode="External"/><Relationship Id="rId_hyperlink_801" Type="http://schemas.openxmlformats.org/officeDocument/2006/relationships/hyperlink" Target="https://www.diodes.com/part/view/DMN24H11DSQ" TargetMode="External"/><Relationship Id="rId_hyperlink_802" Type="http://schemas.openxmlformats.org/officeDocument/2006/relationships/hyperlink" Target="https://www.diodes.com/assets/Datasheets/DMN24H11DSQ.pdf" TargetMode="External"/><Relationship Id="rId_hyperlink_803" Type="http://schemas.openxmlformats.org/officeDocument/2006/relationships/hyperlink" Target="https://www.diodes.com/part/view/DMN24H3D5L" TargetMode="External"/><Relationship Id="rId_hyperlink_804" Type="http://schemas.openxmlformats.org/officeDocument/2006/relationships/hyperlink" Target="https://www.diodes.com/assets/Datasheets/DMN24H3D5L.pdf" TargetMode="External"/><Relationship Id="rId_hyperlink_805" Type="http://schemas.openxmlformats.org/officeDocument/2006/relationships/hyperlink" Target="https://www.diodes.com/part/view/DMN2501UFB4" TargetMode="External"/><Relationship Id="rId_hyperlink_806" Type="http://schemas.openxmlformats.org/officeDocument/2006/relationships/hyperlink" Target="https://www.diodes.com/assets/Datasheets/DMN2501UFB4.pdf" TargetMode="External"/><Relationship Id="rId_hyperlink_807" Type="http://schemas.openxmlformats.org/officeDocument/2006/relationships/hyperlink" Target="https://www.diodes.com/part/view/DMN2550UFA" TargetMode="External"/><Relationship Id="rId_hyperlink_808" Type="http://schemas.openxmlformats.org/officeDocument/2006/relationships/hyperlink" Target="https://www.diodes.com/assets/Datasheets/DMN2550UFA.pdf" TargetMode="External"/><Relationship Id="rId_hyperlink_809" Type="http://schemas.openxmlformats.org/officeDocument/2006/relationships/hyperlink" Target="https://www.diodes.com/part/view/DMN25D0UFA" TargetMode="External"/><Relationship Id="rId_hyperlink_810" Type="http://schemas.openxmlformats.org/officeDocument/2006/relationships/hyperlink" Target="https://www.diodes.com/assets/Datasheets/DMN25D0UFA.pdf" TargetMode="External"/><Relationship Id="rId_hyperlink_811" Type="http://schemas.openxmlformats.org/officeDocument/2006/relationships/hyperlink" Target="https://www.diodes.com/part/view/DMN2600UFB" TargetMode="External"/><Relationship Id="rId_hyperlink_812" Type="http://schemas.openxmlformats.org/officeDocument/2006/relationships/hyperlink" Target="https://www.diodes.com/assets/Datasheets/ds31983.pdf" TargetMode="External"/><Relationship Id="rId_hyperlink_813" Type="http://schemas.openxmlformats.org/officeDocument/2006/relationships/hyperlink" Target="https://www.diodes.com/part/view/DMN26D0UT" TargetMode="External"/><Relationship Id="rId_hyperlink_814" Type="http://schemas.openxmlformats.org/officeDocument/2006/relationships/hyperlink" Target="https://www.diodes.com/assets/Datasheets/ds31854.pdf" TargetMode="External"/><Relationship Id="rId_hyperlink_815" Type="http://schemas.openxmlformats.org/officeDocument/2006/relationships/hyperlink" Target="https://www.diodes.com/part/view/DMN2710UDW" TargetMode="External"/><Relationship Id="rId_hyperlink_816" Type="http://schemas.openxmlformats.org/officeDocument/2006/relationships/hyperlink" Target="https://www.diodes.com/assets/Datasheets/DMN2710UDW.pdf" TargetMode="External"/><Relationship Id="rId_hyperlink_817" Type="http://schemas.openxmlformats.org/officeDocument/2006/relationships/hyperlink" Target="https://www.diodes.com/part/view/DMN2710UDWQ" TargetMode="External"/><Relationship Id="rId_hyperlink_818" Type="http://schemas.openxmlformats.org/officeDocument/2006/relationships/hyperlink" Target="https://www.diodes.com/assets/Datasheets/DMN2710UDWQ.pdf" TargetMode="External"/><Relationship Id="rId_hyperlink_819" Type="http://schemas.openxmlformats.org/officeDocument/2006/relationships/hyperlink" Target="https://www.diodes.com/part/view/DMN2710UFB" TargetMode="External"/><Relationship Id="rId_hyperlink_820" Type="http://schemas.openxmlformats.org/officeDocument/2006/relationships/hyperlink" Target="https://www.diodes.com/assets/Datasheets/DMN2710UFB.pdf" TargetMode="External"/><Relationship Id="rId_hyperlink_821" Type="http://schemas.openxmlformats.org/officeDocument/2006/relationships/hyperlink" Target="https://www.diodes.com/part/view/DMN2710UFBQ" TargetMode="External"/><Relationship Id="rId_hyperlink_822" Type="http://schemas.openxmlformats.org/officeDocument/2006/relationships/hyperlink" Target="https://www.diodes.com/assets/Datasheets/DMN2710UFBQ.pdf" TargetMode="External"/><Relationship Id="rId_hyperlink_823" Type="http://schemas.openxmlformats.org/officeDocument/2006/relationships/hyperlink" Target="https://www.diodes.com/part/view/DMN2710UT" TargetMode="External"/><Relationship Id="rId_hyperlink_824" Type="http://schemas.openxmlformats.org/officeDocument/2006/relationships/hyperlink" Target="https://www.diodes.com/assets/Datasheets/DMN2710UT.pdf" TargetMode="External"/><Relationship Id="rId_hyperlink_825" Type="http://schemas.openxmlformats.org/officeDocument/2006/relationships/hyperlink" Target="https://www.diodes.com/part/view/DMN2710UTQ" TargetMode="External"/><Relationship Id="rId_hyperlink_826" Type="http://schemas.openxmlformats.org/officeDocument/2006/relationships/hyperlink" Target="https://www.diodes.com/assets/Datasheets/DMN2710UTQ.pdf" TargetMode="External"/><Relationship Id="rId_hyperlink_827" Type="http://schemas.openxmlformats.org/officeDocument/2006/relationships/hyperlink" Target="https://www.diodes.com/part/view/DMN2710UV" TargetMode="External"/><Relationship Id="rId_hyperlink_828" Type="http://schemas.openxmlformats.org/officeDocument/2006/relationships/hyperlink" Target="https://www.diodes.com/assets/Datasheets/DMN2710UV.pdf" TargetMode="External"/><Relationship Id="rId_hyperlink_829" Type="http://schemas.openxmlformats.org/officeDocument/2006/relationships/hyperlink" Target="https://www.diodes.com/part/view/DMN2710UVQ" TargetMode="External"/><Relationship Id="rId_hyperlink_830" Type="http://schemas.openxmlformats.org/officeDocument/2006/relationships/hyperlink" Target="https://www.diodes.com/assets/Datasheets/DMN2710UVQ.pdf" TargetMode="External"/><Relationship Id="rId_hyperlink_831" Type="http://schemas.openxmlformats.org/officeDocument/2006/relationships/hyperlink" Target="https://www.diodes.com/part/view/DMN2710UW" TargetMode="External"/><Relationship Id="rId_hyperlink_832" Type="http://schemas.openxmlformats.org/officeDocument/2006/relationships/hyperlink" Target="https://www.diodes.com/assets/Datasheets/DMN2710UW.pdf" TargetMode="External"/><Relationship Id="rId_hyperlink_833" Type="http://schemas.openxmlformats.org/officeDocument/2006/relationships/hyperlink" Target="https://www.diodes.com/part/view/DMN2710UWQ" TargetMode="External"/><Relationship Id="rId_hyperlink_834" Type="http://schemas.openxmlformats.org/officeDocument/2006/relationships/hyperlink" Target="https://www.diodes.com/assets/Datasheets/DMN2710UWQ.pdf" TargetMode="External"/><Relationship Id="rId_hyperlink_835" Type="http://schemas.openxmlformats.org/officeDocument/2006/relationships/hyperlink" Target="https://www.diodes.com/part/view/DMN2990UDJ" TargetMode="External"/><Relationship Id="rId_hyperlink_836" Type="http://schemas.openxmlformats.org/officeDocument/2006/relationships/hyperlink" Target="https://www.diodes.com/assets/Datasheets/DMN2990UDJ.pdf" TargetMode="External"/><Relationship Id="rId_hyperlink_837" Type="http://schemas.openxmlformats.org/officeDocument/2006/relationships/hyperlink" Target="https://www.diodes.com/part/view/DMN2990UDJQ" TargetMode="External"/><Relationship Id="rId_hyperlink_838" Type="http://schemas.openxmlformats.org/officeDocument/2006/relationships/hyperlink" Target="https://www.diodes.com/assets/Datasheets/DMN2990UDJQ.pdf" TargetMode="External"/><Relationship Id="rId_hyperlink_839" Type="http://schemas.openxmlformats.org/officeDocument/2006/relationships/hyperlink" Target="https://www.diodes.com/part/view/DMN2990UFA" TargetMode="External"/><Relationship Id="rId_hyperlink_840" Type="http://schemas.openxmlformats.org/officeDocument/2006/relationships/hyperlink" Target="https://www.diodes.com/assets/Datasheets/DMN2990UFA.pdf" TargetMode="External"/><Relationship Id="rId_hyperlink_841" Type="http://schemas.openxmlformats.org/officeDocument/2006/relationships/hyperlink" Target="https://www.diodes.com/part/view/DMN2990UFB" TargetMode="External"/><Relationship Id="rId_hyperlink_842" Type="http://schemas.openxmlformats.org/officeDocument/2006/relationships/hyperlink" Target="https://www.diodes.com/assets/Datasheets/DMN2990UFB.pdf" TargetMode="External"/><Relationship Id="rId_hyperlink_843" Type="http://schemas.openxmlformats.org/officeDocument/2006/relationships/hyperlink" Target="https://www.diodes.com/part/view/DMN2990UFO" TargetMode="External"/><Relationship Id="rId_hyperlink_844" Type="http://schemas.openxmlformats.org/officeDocument/2006/relationships/hyperlink" Target="https://www.diodes.com/assets/Datasheets/DMN2990UFO.pdf" TargetMode="External"/><Relationship Id="rId_hyperlink_845" Type="http://schemas.openxmlformats.org/officeDocument/2006/relationships/hyperlink" Target="https://www.diodes.com/part/view/DMN2990UFZ" TargetMode="External"/><Relationship Id="rId_hyperlink_846" Type="http://schemas.openxmlformats.org/officeDocument/2006/relationships/hyperlink" Target="https://www.diodes.com/assets/Datasheets/DMN2990UFZ.pdf" TargetMode="External"/><Relationship Id="rId_hyperlink_847" Type="http://schemas.openxmlformats.org/officeDocument/2006/relationships/hyperlink" Target="https://www.diodes.com/part/view/DMN2991UDA" TargetMode="External"/><Relationship Id="rId_hyperlink_848" Type="http://schemas.openxmlformats.org/officeDocument/2006/relationships/hyperlink" Target="https://www.diodes.com/assets/Datasheets/DMN2991UDA.pdf" TargetMode="External"/><Relationship Id="rId_hyperlink_849" Type="http://schemas.openxmlformats.org/officeDocument/2006/relationships/hyperlink" Target="https://www.diodes.com/part/view/DMN2991UDJ" TargetMode="External"/><Relationship Id="rId_hyperlink_850" Type="http://schemas.openxmlformats.org/officeDocument/2006/relationships/hyperlink" Target="https://www.diodes.com/assets/Datasheets/DMN2991UDJ.pdf" TargetMode="External"/><Relationship Id="rId_hyperlink_851" Type="http://schemas.openxmlformats.org/officeDocument/2006/relationships/hyperlink" Target="https://www.diodes.com/part/view/DMN2991UDR4" TargetMode="External"/><Relationship Id="rId_hyperlink_852" Type="http://schemas.openxmlformats.org/officeDocument/2006/relationships/hyperlink" Target="https://www.diodes.com/assets/Datasheets/DMN2991UDR4.pdf" TargetMode="External"/><Relationship Id="rId_hyperlink_853" Type="http://schemas.openxmlformats.org/officeDocument/2006/relationships/hyperlink" Target="https://www.diodes.com/part/view/DMN2991UFA" TargetMode="External"/><Relationship Id="rId_hyperlink_854" Type="http://schemas.openxmlformats.org/officeDocument/2006/relationships/hyperlink" Target="https://www.diodes.com/assets/Datasheets/DMN2991UFA.pdf" TargetMode="External"/><Relationship Id="rId_hyperlink_855" Type="http://schemas.openxmlformats.org/officeDocument/2006/relationships/hyperlink" Target="https://www.diodes.com/part/view/DMN2991UFB4" TargetMode="External"/><Relationship Id="rId_hyperlink_856" Type="http://schemas.openxmlformats.org/officeDocument/2006/relationships/hyperlink" Target="https://www.diodes.com/assets/Datasheets/DMN2991UFB4.pdf" TargetMode="External"/><Relationship Id="rId_hyperlink_857" Type="http://schemas.openxmlformats.org/officeDocument/2006/relationships/hyperlink" Target="https://www.diodes.com/part/view/DMN2991UFB4Q" TargetMode="External"/><Relationship Id="rId_hyperlink_858" Type="http://schemas.openxmlformats.org/officeDocument/2006/relationships/hyperlink" Target="https://www.diodes.com/assets/Datasheets/DMN2991UFB4Q.pdf" TargetMode="External"/><Relationship Id="rId_hyperlink_859" Type="http://schemas.openxmlformats.org/officeDocument/2006/relationships/hyperlink" Target="https://www.diodes.com/part/view/DMN2991UFO" TargetMode="External"/><Relationship Id="rId_hyperlink_860" Type="http://schemas.openxmlformats.org/officeDocument/2006/relationships/hyperlink" Target="https://www.diodes.com/assets/Datasheets/DMN2991UFO.pdf" TargetMode="External"/><Relationship Id="rId_hyperlink_861" Type="http://schemas.openxmlformats.org/officeDocument/2006/relationships/hyperlink" Target="https://www.diodes.com/part/view/DMN2991UFZ" TargetMode="External"/><Relationship Id="rId_hyperlink_862" Type="http://schemas.openxmlformats.org/officeDocument/2006/relationships/hyperlink" Target="https://www.diodes.com/assets/Datasheets/DMN2991UFZ.pdf" TargetMode="External"/><Relationship Id="rId_hyperlink_863" Type="http://schemas.openxmlformats.org/officeDocument/2006/relationships/hyperlink" Target="https://www.diodes.com/part/view/DMN2991UFZQ" TargetMode="External"/><Relationship Id="rId_hyperlink_864" Type="http://schemas.openxmlformats.org/officeDocument/2006/relationships/hyperlink" Target="https://www.diodes.com/assets/Datasheets/DMN2991UFZQ.pdf" TargetMode="External"/><Relationship Id="rId_hyperlink_865" Type="http://schemas.openxmlformats.org/officeDocument/2006/relationships/hyperlink" Target="https://www.diodes.com/part/view/DMN2991UT" TargetMode="External"/><Relationship Id="rId_hyperlink_866" Type="http://schemas.openxmlformats.org/officeDocument/2006/relationships/hyperlink" Target="https://www.diodes.com/assets/Datasheets/DMN2991UT.pdf" TargetMode="External"/><Relationship Id="rId_hyperlink_867" Type="http://schemas.openxmlformats.org/officeDocument/2006/relationships/hyperlink" Target="https://www.diodes.com/part/view/DMN2991UTQ" TargetMode="External"/><Relationship Id="rId_hyperlink_868" Type="http://schemas.openxmlformats.org/officeDocument/2006/relationships/hyperlink" Target="https://www.diodes.com/assets/Datasheets/DMN2991UTQ.pdf" TargetMode="External"/><Relationship Id="rId_hyperlink_869" Type="http://schemas.openxmlformats.org/officeDocument/2006/relationships/hyperlink" Target="https://www.diodes.com/part/view/DMN2992UFB4" TargetMode="External"/><Relationship Id="rId_hyperlink_870" Type="http://schemas.openxmlformats.org/officeDocument/2006/relationships/hyperlink" Target="https://www.diodes.com/assets/Datasheets/DMN2992UFB4.pdf" TargetMode="External"/><Relationship Id="rId_hyperlink_871" Type="http://schemas.openxmlformats.org/officeDocument/2006/relationships/hyperlink" Target="https://www.diodes.com/part/view/DMN2992UFB4Q" TargetMode="External"/><Relationship Id="rId_hyperlink_872" Type="http://schemas.openxmlformats.org/officeDocument/2006/relationships/hyperlink" Target="https://www.diodes.com/assets/Datasheets/DMN2992UFB4Q.pdf" TargetMode="External"/><Relationship Id="rId_hyperlink_873" Type="http://schemas.openxmlformats.org/officeDocument/2006/relationships/hyperlink" Target="https://www.diodes.com/part/view/DMN2992UFZ" TargetMode="External"/><Relationship Id="rId_hyperlink_874" Type="http://schemas.openxmlformats.org/officeDocument/2006/relationships/hyperlink" Target="https://www.diodes.com/assets/Datasheets/DMN2992UFZ.pdf" TargetMode="External"/><Relationship Id="rId_hyperlink_875" Type="http://schemas.openxmlformats.org/officeDocument/2006/relationships/hyperlink" Target="https://www.diodes.com/part/view/DMN29M9UFDF" TargetMode="External"/><Relationship Id="rId_hyperlink_876" Type="http://schemas.openxmlformats.org/officeDocument/2006/relationships/hyperlink" Target="https://www.diodes.com/assets/Datasheets/DMN29M9UFDF.pdf" TargetMode="External"/><Relationship Id="rId_hyperlink_877" Type="http://schemas.openxmlformats.org/officeDocument/2006/relationships/hyperlink" Target="https://www.diodes.com/part/view/DMN3006SCA6" TargetMode="External"/><Relationship Id="rId_hyperlink_878" Type="http://schemas.openxmlformats.org/officeDocument/2006/relationships/hyperlink" Target="https://www.diodes.com/assets/Datasheets/DMN3006SCA6.pdf" TargetMode="External"/><Relationship Id="rId_hyperlink_879" Type="http://schemas.openxmlformats.org/officeDocument/2006/relationships/hyperlink" Target="https://www.diodes.com/part/view/DMN3007LSS" TargetMode="External"/><Relationship Id="rId_hyperlink_880" Type="http://schemas.openxmlformats.org/officeDocument/2006/relationships/hyperlink" Target="https://www.diodes.com/assets/Datasheets/ds31460.pdf" TargetMode="External"/><Relationship Id="rId_hyperlink_881" Type="http://schemas.openxmlformats.org/officeDocument/2006/relationships/hyperlink" Target="https://www.diodes.com/part/view/DMN3007LSSQ" TargetMode="External"/><Relationship Id="rId_hyperlink_882" Type="http://schemas.openxmlformats.org/officeDocument/2006/relationships/hyperlink" Target="https://www.diodes.com/assets/Datasheets/DMN3007LSSQ.pdf" TargetMode="External"/><Relationship Id="rId_hyperlink_883" Type="http://schemas.openxmlformats.org/officeDocument/2006/relationships/hyperlink" Target="https://www.diodes.com/part/view/DMN3008SCP10" TargetMode="External"/><Relationship Id="rId_hyperlink_884" Type="http://schemas.openxmlformats.org/officeDocument/2006/relationships/hyperlink" Target="https://www.diodes.com/assets/Datasheets/DMN3008SCP10.pdf" TargetMode="External"/><Relationship Id="rId_hyperlink_885" Type="http://schemas.openxmlformats.org/officeDocument/2006/relationships/hyperlink" Target="https://www.diodes.com/part/view/DMN3008SFG" TargetMode="External"/><Relationship Id="rId_hyperlink_886" Type="http://schemas.openxmlformats.org/officeDocument/2006/relationships/hyperlink" Target="https://www.diodes.com/assets/Datasheets/DMN3008SFG.pdf" TargetMode="External"/><Relationship Id="rId_hyperlink_887" Type="http://schemas.openxmlformats.org/officeDocument/2006/relationships/hyperlink" Target="https://www.diodes.com/part/view/DMN3008SFGQ" TargetMode="External"/><Relationship Id="rId_hyperlink_888" Type="http://schemas.openxmlformats.org/officeDocument/2006/relationships/hyperlink" Target="https://www.diodes.com/assets/Datasheets/DMN3008SFGQ.pdf" TargetMode="External"/><Relationship Id="rId_hyperlink_889" Type="http://schemas.openxmlformats.org/officeDocument/2006/relationships/hyperlink" Target="https://www.diodes.com/part/view/DMN3009LFV" TargetMode="External"/><Relationship Id="rId_hyperlink_890" Type="http://schemas.openxmlformats.org/officeDocument/2006/relationships/hyperlink" Target="https://www.diodes.com/assets/Datasheets/DMN3009LFV.pdf" TargetMode="External"/><Relationship Id="rId_hyperlink_891" Type="http://schemas.openxmlformats.org/officeDocument/2006/relationships/hyperlink" Target="https://www.diodes.com/part/view/DMN3009LFVQ" TargetMode="External"/><Relationship Id="rId_hyperlink_892" Type="http://schemas.openxmlformats.org/officeDocument/2006/relationships/hyperlink" Target="https://www.diodes.com/assets/Datasheets/DMN3009LFVQ.pdf" TargetMode="External"/><Relationship Id="rId_hyperlink_893" Type="http://schemas.openxmlformats.org/officeDocument/2006/relationships/hyperlink" Target="https://www.diodes.com/part/view/DMN3009LFVW" TargetMode="External"/><Relationship Id="rId_hyperlink_894" Type="http://schemas.openxmlformats.org/officeDocument/2006/relationships/hyperlink" Target="https://www.diodes.com/assets/Datasheets/DMN3009LFVW.pdf" TargetMode="External"/><Relationship Id="rId_hyperlink_895" Type="http://schemas.openxmlformats.org/officeDocument/2006/relationships/hyperlink" Target="https://www.diodes.com/part/view/DMN3009LFVWQ" TargetMode="External"/><Relationship Id="rId_hyperlink_896" Type="http://schemas.openxmlformats.org/officeDocument/2006/relationships/hyperlink" Target="https://www.diodes.com/assets/Datasheets/DMN3009LFVWQ.pdf" TargetMode="External"/><Relationship Id="rId_hyperlink_897" Type="http://schemas.openxmlformats.org/officeDocument/2006/relationships/hyperlink" Target="https://www.diodes.com/part/view/DMN3009SFG" TargetMode="External"/><Relationship Id="rId_hyperlink_898" Type="http://schemas.openxmlformats.org/officeDocument/2006/relationships/hyperlink" Target="https://www.diodes.com/assets/Datasheets/DMN3009SFG.pdf" TargetMode="External"/><Relationship Id="rId_hyperlink_899" Type="http://schemas.openxmlformats.org/officeDocument/2006/relationships/hyperlink" Target="https://www.diodes.com/part/view/DMN3009SFGQ" TargetMode="External"/><Relationship Id="rId_hyperlink_900" Type="http://schemas.openxmlformats.org/officeDocument/2006/relationships/hyperlink" Target="https://www.diodes.com/assets/Datasheets/DMN3009SFGQ.pdf" TargetMode="External"/><Relationship Id="rId_hyperlink_901" Type="http://schemas.openxmlformats.org/officeDocument/2006/relationships/hyperlink" Target="https://www.diodes.com/part/view/DMN3009SK3" TargetMode="External"/><Relationship Id="rId_hyperlink_902" Type="http://schemas.openxmlformats.org/officeDocument/2006/relationships/hyperlink" Target="https://www.diodes.com/assets/Datasheets/DMN3009SK3.pdf" TargetMode="External"/><Relationship Id="rId_hyperlink_903" Type="http://schemas.openxmlformats.org/officeDocument/2006/relationships/hyperlink" Target="https://www.diodes.com/part/view/DMN3009SSS" TargetMode="External"/><Relationship Id="rId_hyperlink_904" Type="http://schemas.openxmlformats.org/officeDocument/2006/relationships/hyperlink" Target="https://www.diodes.com/assets/Datasheets/DMN3009SSS.pdf" TargetMode="External"/><Relationship Id="rId_hyperlink_905" Type="http://schemas.openxmlformats.org/officeDocument/2006/relationships/hyperlink" Target="https://www.diodes.com/part/view/DMN3010LFG" TargetMode="External"/><Relationship Id="rId_hyperlink_906" Type="http://schemas.openxmlformats.org/officeDocument/2006/relationships/hyperlink" Target="https://www.diodes.com/assets/Datasheets/DMN3010LFG.pdf" TargetMode="External"/><Relationship Id="rId_hyperlink_907" Type="http://schemas.openxmlformats.org/officeDocument/2006/relationships/hyperlink" Target="https://www.diodes.com/part/view/DMN3010LK3" TargetMode="External"/><Relationship Id="rId_hyperlink_908" Type="http://schemas.openxmlformats.org/officeDocument/2006/relationships/hyperlink" Target="https://www.diodes.com/assets/Datasheets/DMN3010LK3.pdf" TargetMode="External"/><Relationship Id="rId_hyperlink_909" Type="http://schemas.openxmlformats.org/officeDocument/2006/relationships/hyperlink" Target="https://www.diodes.com/part/view/DMN3010LSS" TargetMode="External"/><Relationship Id="rId_hyperlink_910" Type="http://schemas.openxmlformats.org/officeDocument/2006/relationships/hyperlink" Target="https://www.diodes.com/assets/Datasheets/ds31259.pdf" TargetMode="External"/><Relationship Id="rId_hyperlink_911" Type="http://schemas.openxmlformats.org/officeDocument/2006/relationships/hyperlink" Target="https://www.diodes.com/part/view/DMN3011LSS" TargetMode="External"/><Relationship Id="rId_hyperlink_912" Type="http://schemas.openxmlformats.org/officeDocument/2006/relationships/hyperlink" Target="https://www.diodes.com/assets/Datasheets/DMN3011LSS.pdf" TargetMode="External"/><Relationship Id="rId_hyperlink_913" Type="http://schemas.openxmlformats.org/officeDocument/2006/relationships/hyperlink" Target="https://www.diodes.com/part/view/DMN3011LSSQ" TargetMode="External"/><Relationship Id="rId_hyperlink_914" Type="http://schemas.openxmlformats.org/officeDocument/2006/relationships/hyperlink" Target="https://www.diodes.com/assets/Datasheets/DMN3011LSSQ.pdf" TargetMode="External"/><Relationship Id="rId_hyperlink_915" Type="http://schemas.openxmlformats.org/officeDocument/2006/relationships/hyperlink" Target="https://www.diodes.com/part/view/DMN3012LEG" TargetMode="External"/><Relationship Id="rId_hyperlink_916" Type="http://schemas.openxmlformats.org/officeDocument/2006/relationships/hyperlink" Target="https://www.diodes.com/assets/Datasheets/DMN3012LEG.pdf" TargetMode="External"/><Relationship Id="rId_hyperlink_917" Type="http://schemas.openxmlformats.org/officeDocument/2006/relationships/hyperlink" Target="https://www.diodes.com/part/view/DMN3012LFG" TargetMode="External"/><Relationship Id="rId_hyperlink_918" Type="http://schemas.openxmlformats.org/officeDocument/2006/relationships/hyperlink" Target="https://www.diodes.com/assets/Datasheets/DMN3012LFG.pdf" TargetMode="External"/><Relationship Id="rId_hyperlink_919" Type="http://schemas.openxmlformats.org/officeDocument/2006/relationships/hyperlink" Target="https://www.diodes.com/part/view/DMN3013LDG" TargetMode="External"/><Relationship Id="rId_hyperlink_920" Type="http://schemas.openxmlformats.org/officeDocument/2006/relationships/hyperlink" Target="https://www.diodes.com/assets/Datasheets/DMN3013LDG.pdf" TargetMode="External"/><Relationship Id="rId_hyperlink_921" Type="http://schemas.openxmlformats.org/officeDocument/2006/relationships/hyperlink" Target="https://www.diodes.com/part/view/DMN3013LFG" TargetMode="External"/><Relationship Id="rId_hyperlink_922" Type="http://schemas.openxmlformats.org/officeDocument/2006/relationships/hyperlink" Target="https://www.diodes.com/assets/Datasheets/DMN3013LFG.pdf" TargetMode="External"/><Relationship Id="rId_hyperlink_923" Type="http://schemas.openxmlformats.org/officeDocument/2006/relationships/hyperlink" Target="https://www.diodes.com/part/view/DMN3015LSD" TargetMode="External"/><Relationship Id="rId_hyperlink_924" Type="http://schemas.openxmlformats.org/officeDocument/2006/relationships/hyperlink" Target="https://www.diodes.com/assets/Datasheets/DMN3015LSD.pdf" TargetMode="External"/><Relationship Id="rId_hyperlink_925" Type="http://schemas.openxmlformats.org/officeDocument/2006/relationships/hyperlink" Target="https://www.diodes.com/part/view/DMN3016LDN" TargetMode="External"/><Relationship Id="rId_hyperlink_926" Type="http://schemas.openxmlformats.org/officeDocument/2006/relationships/hyperlink" Target="https://www.diodes.com/assets/Datasheets/DMN3016LDN.pdf" TargetMode="External"/><Relationship Id="rId_hyperlink_927" Type="http://schemas.openxmlformats.org/officeDocument/2006/relationships/hyperlink" Target="https://www.diodes.com/part/view/DMN3016LDV" TargetMode="External"/><Relationship Id="rId_hyperlink_928" Type="http://schemas.openxmlformats.org/officeDocument/2006/relationships/hyperlink" Target="https://www.diodes.com/assets/Datasheets/DMN3016LDV.pdf" TargetMode="External"/><Relationship Id="rId_hyperlink_929" Type="http://schemas.openxmlformats.org/officeDocument/2006/relationships/hyperlink" Target="https://www.diodes.com/part/view/DMN3016LFDE" TargetMode="External"/><Relationship Id="rId_hyperlink_930" Type="http://schemas.openxmlformats.org/officeDocument/2006/relationships/hyperlink" Target="https://www.diodes.com/assets/Datasheets/DMN3016LFDE.pdf" TargetMode="External"/><Relationship Id="rId_hyperlink_931" Type="http://schemas.openxmlformats.org/officeDocument/2006/relationships/hyperlink" Target="https://www.diodes.com/part/view/DMN3016LFDF" TargetMode="External"/><Relationship Id="rId_hyperlink_932" Type="http://schemas.openxmlformats.org/officeDocument/2006/relationships/hyperlink" Target="https://www.diodes.com/assets/Datasheets/DMN3016LFDF.pdf" TargetMode="External"/><Relationship Id="rId_hyperlink_933" Type="http://schemas.openxmlformats.org/officeDocument/2006/relationships/hyperlink" Target="https://www.diodes.com/part/view/DMN3016LFDFQ" TargetMode="External"/><Relationship Id="rId_hyperlink_934" Type="http://schemas.openxmlformats.org/officeDocument/2006/relationships/hyperlink" Target="https://www.diodes.com/assets/Datasheets/DMN3016LFDFQ.pdf" TargetMode="External"/><Relationship Id="rId_hyperlink_935" Type="http://schemas.openxmlformats.org/officeDocument/2006/relationships/hyperlink" Target="https://www.diodes.com/part/view/DMN3016LK3" TargetMode="External"/><Relationship Id="rId_hyperlink_936" Type="http://schemas.openxmlformats.org/officeDocument/2006/relationships/hyperlink" Target="https://www.diodes.com/assets/Datasheets/DMN3016LK3.pdf" TargetMode="External"/><Relationship Id="rId_hyperlink_937" Type="http://schemas.openxmlformats.org/officeDocument/2006/relationships/hyperlink" Target="https://www.diodes.com/part/view/DMN3016LPS" TargetMode="External"/><Relationship Id="rId_hyperlink_938" Type="http://schemas.openxmlformats.org/officeDocument/2006/relationships/hyperlink" Target="https://www.diodes.com/assets/Datasheets/DMN3016LPS.pdf" TargetMode="External"/><Relationship Id="rId_hyperlink_939" Type="http://schemas.openxmlformats.org/officeDocument/2006/relationships/hyperlink" Target="https://www.diodes.com/part/view/DMN3016LSS" TargetMode="External"/><Relationship Id="rId_hyperlink_940" Type="http://schemas.openxmlformats.org/officeDocument/2006/relationships/hyperlink" Target="https://www.diodes.com/assets/Datasheets/DMN3016LSS.pdf" TargetMode="External"/><Relationship Id="rId_hyperlink_941" Type="http://schemas.openxmlformats.org/officeDocument/2006/relationships/hyperlink" Target="https://www.diodes.com/part/view/DMN3018SFG" TargetMode="External"/><Relationship Id="rId_hyperlink_942" Type="http://schemas.openxmlformats.org/officeDocument/2006/relationships/hyperlink" Target="https://www.diodes.com/assets/Datasheets/DMN3018SFG.pdf" TargetMode="External"/><Relationship Id="rId_hyperlink_943" Type="http://schemas.openxmlformats.org/officeDocument/2006/relationships/hyperlink" Target="https://www.diodes.com/part/view/DMN3018SSD" TargetMode="External"/><Relationship Id="rId_hyperlink_944" Type="http://schemas.openxmlformats.org/officeDocument/2006/relationships/hyperlink" Target="https://www.diodes.com/assets/Datasheets/DMN3018SSD.pdf" TargetMode="External"/><Relationship Id="rId_hyperlink_945" Type="http://schemas.openxmlformats.org/officeDocument/2006/relationships/hyperlink" Target="https://www.diodes.com/part/view/DMN3018SSS" TargetMode="External"/><Relationship Id="rId_hyperlink_946" Type="http://schemas.openxmlformats.org/officeDocument/2006/relationships/hyperlink" Target="https://www.diodes.com/assets/Datasheets/DMN3018SSS.pdf" TargetMode="External"/><Relationship Id="rId_hyperlink_947" Type="http://schemas.openxmlformats.org/officeDocument/2006/relationships/hyperlink" Target="https://www.diodes.com/part/view/DMN3020UFDF" TargetMode="External"/><Relationship Id="rId_hyperlink_948" Type="http://schemas.openxmlformats.org/officeDocument/2006/relationships/hyperlink" Target="https://www.diodes.com/assets/Datasheets/DMN3020UFDF.pdf" TargetMode="External"/><Relationship Id="rId_hyperlink_949" Type="http://schemas.openxmlformats.org/officeDocument/2006/relationships/hyperlink" Target="https://www.diodes.com/part/view/DMN3020UFDFQ" TargetMode="External"/><Relationship Id="rId_hyperlink_950" Type="http://schemas.openxmlformats.org/officeDocument/2006/relationships/hyperlink" Target="https://www.diodes.com/assets/Datasheets/DMN3020UFDFQ.pdf" TargetMode="External"/><Relationship Id="rId_hyperlink_951" Type="http://schemas.openxmlformats.org/officeDocument/2006/relationships/hyperlink" Target="https://www.diodes.com/part/view/DMN3020UTS" TargetMode="External"/><Relationship Id="rId_hyperlink_952" Type="http://schemas.openxmlformats.org/officeDocument/2006/relationships/hyperlink" Target="https://www.diodes.com/assets/Datasheets/DMN3020UTS.pdf" TargetMode="External"/><Relationship Id="rId_hyperlink_953" Type="http://schemas.openxmlformats.org/officeDocument/2006/relationships/hyperlink" Target="https://www.diodes.com/part/view/DMN3021LFDF" TargetMode="External"/><Relationship Id="rId_hyperlink_954" Type="http://schemas.openxmlformats.org/officeDocument/2006/relationships/hyperlink" Target="https://www.diodes.com/assets/Datasheets/DMN3021LFDF.pdf" TargetMode="External"/><Relationship Id="rId_hyperlink_955" Type="http://schemas.openxmlformats.org/officeDocument/2006/relationships/hyperlink" Target="https://www.diodes.com/part/view/DMN3022LDG" TargetMode="External"/><Relationship Id="rId_hyperlink_956" Type="http://schemas.openxmlformats.org/officeDocument/2006/relationships/hyperlink" Target="https://www.diodes.com/assets/Datasheets/DMN3022LDG.pdf" TargetMode="External"/><Relationship Id="rId_hyperlink_957" Type="http://schemas.openxmlformats.org/officeDocument/2006/relationships/hyperlink" Target="https://www.diodes.com/part/view/DMN3022LFG" TargetMode="External"/><Relationship Id="rId_hyperlink_958" Type="http://schemas.openxmlformats.org/officeDocument/2006/relationships/hyperlink" Target="https://www.diodes.com/assets/Datasheets/DMN3022LFG.pdf" TargetMode="External"/><Relationship Id="rId_hyperlink_959" Type="http://schemas.openxmlformats.org/officeDocument/2006/relationships/hyperlink" Target="https://www.diodes.com/part/view/DMN3023L" TargetMode="External"/><Relationship Id="rId_hyperlink_960" Type="http://schemas.openxmlformats.org/officeDocument/2006/relationships/hyperlink" Target="https://www.diodes.com/assets/Datasheets/DMN3023L.pdf" TargetMode="External"/><Relationship Id="rId_hyperlink_961" Type="http://schemas.openxmlformats.org/officeDocument/2006/relationships/hyperlink" Target="https://www.diodes.com/part/view/DMN3024LK3" TargetMode="External"/><Relationship Id="rId_hyperlink_962" Type="http://schemas.openxmlformats.org/officeDocument/2006/relationships/hyperlink" Target="https://www.diodes.com/assets/Datasheets/DMN3024LK3.pdf" TargetMode="External"/><Relationship Id="rId_hyperlink_963" Type="http://schemas.openxmlformats.org/officeDocument/2006/relationships/hyperlink" Target="https://www.diodes.com/part/view/DMN3024LSD" TargetMode="External"/><Relationship Id="rId_hyperlink_964" Type="http://schemas.openxmlformats.org/officeDocument/2006/relationships/hyperlink" Target="https://www.diodes.com/assets/Datasheets/DMN3024LSD.pdf" TargetMode="External"/><Relationship Id="rId_hyperlink_965" Type="http://schemas.openxmlformats.org/officeDocument/2006/relationships/hyperlink" Target="https://www.diodes.com/part/view/DMN3024LSS" TargetMode="External"/><Relationship Id="rId_hyperlink_966" Type="http://schemas.openxmlformats.org/officeDocument/2006/relationships/hyperlink" Target="https://www.diodes.com/assets/Datasheets/DMN3024LSS.pdf" TargetMode="External"/><Relationship Id="rId_hyperlink_967" Type="http://schemas.openxmlformats.org/officeDocument/2006/relationships/hyperlink" Target="https://www.diodes.com/part/view/DMN3024SFG" TargetMode="External"/><Relationship Id="rId_hyperlink_968" Type="http://schemas.openxmlformats.org/officeDocument/2006/relationships/hyperlink" Target="https://www.diodes.com/assets/Datasheets/DMN3024SFG.pdf" TargetMode="External"/><Relationship Id="rId_hyperlink_969" Type="http://schemas.openxmlformats.org/officeDocument/2006/relationships/hyperlink" Target="https://www.diodes.com/part/view/DMN3025LFDF" TargetMode="External"/><Relationship Id="rId_hyperlink_970" Type="http://schemas.openxmlformats.org/officeDocument/2006/relationships/hyperlink" Target="https://www.diodes.com/assets/Datasheets/DMN3025LFDF.pdf" TargetMode="External"/><Relationship Id="rId_hyperlink_971" Type="http://schemas.openxmlformats.org/officeDocument/2006/relationships/hyperlink" Target="https://www.diodes.com/part/view/DMN3025LFG" TargetMode="External"/><Relationship Id="rId_hyperlink_972" Type="http://schemas.openxmlformats.org/officeDocument/2006/relationships/hyperlink" Target="https://www.diodes.com/assets/Datasheets/DMN3025LFG.pdf" TargetMode="External"/><Relationship Id="rId_hyperlink_973" Type="http://schemas.openxmlformats.org/officeDocument/2006/relationships/hyperlink" Target="https://www.diodes.com/part/view/DMN3025LFV" TargetMode="External"/><Relationship Id="rId_hyperlink_974" Type="http://schemas.openxmlformats.org/officeDocument/2006/relationships/hyperlink" Target="https://www.diodes.com/assets/Datasheets/DMN3025LFV.pdf" TargetMode="External"/><Relationship Id="rId_hyperlink_975" Type="http://schemas.openxmlformats.org/officeDocument/2006/relationships/hyperlink" Target="https://www.diodes.com/part/view/DMN3025LSS" TargetMode="External"/><Relationship Id="rId_hyperlink_976" Type="http://schemas.openxmlformats.org/officeDocument/2006/relationships/hyperlink" Target="https://www.diodes.com/assets/Datasheets/DMN3025LSS.pdf" TargetMode="External"/><Relationship Id="rId_hyperlink_977" Type="http://schemas.openxmlformats.org/officeDocument/2006/relationships/hyperlink" Target="https://www.diodes.com/part/view/DMN3026LVT" TargetMode="External"/><Relationship Id="rId_hyperlink_978" Type="http://schemas.openxmlformats.org/officeDocument/2006/relationships/hyperlink" Target="https://www.diodes.com/assets/Datasheets/DMN3026LVT.pdf" TargetMode="External"/><Relationship Id="rId_hyperlink_979" Type="http://schemas.openxmlformats.org/officeDocument/2006/relationships/hyperlink" Target="https://www.diodes.com/part/view/DMN3026LVTQ" TargetMode="External"/><Relationship Id="rId_hyperlink_980" Type="http://schemas.openxmlformats.org/officeDocument/2006/relationships/hyperlink" Target="https://www.diodes.com/assets/Datasheets/DMN3026LVTQ.pdf" TargetMode="External"/><Relationship Id="rId_hyperlink_981" Type="http://schemas.openxmlformats.org/officeDocument/2006/relationships/hyperlink" Target="https://www.diodes.com/part/view/DMN3027LFG" TargetMode="External"/><Relationship Id="rId_hyperlink_982" Type="http://schemas.openxmlformats.org/officeDocument/2006/relationships/hyperlink" Target="https://www.diodes.com/assets/Datasheets/DMN3027LFG.pdf" TargetMode="External"/><Relationship Id="rId_hyperlink_983" Type="http://schemas.openxmlformats.org/officeDocument/2006/relationships/hyperlink" Target="https://www.diodes.com/part/view/DMN3028L" TargetMode="External"/><Relationship Id="rId_hyperlink_984" Type="http://schemas.openxmlformats.org/officeDocument/2006/relationships/hyperlink" Target="https://www.diodes.com/assets/Datasheets/DMN3028L.pdf" TargetMode="External"/><Relationship Id="rId_hyperlink_985" Type="http://schemas.openxmlformats.org/officeDocument/2006/relationships/hyperlink" Target="https://www.diodes.com/part/view/DMN3028LQ" TargetMode="External"/><Relationship Id="rId_hyperlink_986" Type="http://schemas.openxmlformats.org/officeDocument/2006/relationships/hyperlink" Target="https://www.diodes.com/assets/Datasheets/DMN3028LQ.pdf" TargetMode="External"/><Relationship Id="rId_hyperlink_987" Type="http://schemas.openxmlformats.org/officeDocument/2006/relationships/hyperlink" Target="https://www.diodes.com/part/view/DMN3029LFG" TargetMode="External"/><Relationship Id="rId_hyperlink_988" Type="http://schemas.openxmlformats.org/officeDocument/2006/relationships/hyperlink" Target="https://www.diodes.com/assets/Datasheets/DMN3029LFG.pdf" TargetMode="External"/><Relationship Id="rId_hyperlink_989" Type="http://schemas.openxmlformats.org/officeDocument/2006/relationships/hyperlink" Target="https://www.diodes.com/part/view/DMN3030LSS" TargetMode="External"/><Relationship Id="rId_hyperlink_990" Type="http://schemas.openxmlformats.org/officeDocument/2006/relationships/hyperlink" Target="https://www.diodes.com/assets/Datasheets/DMN3030LSS.pdf" TargetMode="External"/><Relationship Id="rId_hyperlink_991" Type="http://schemas.openxmlformats.org/officeDocument/2006/relationships/hyperlink" Target="https://www.diodes.com/part/view/DMN3032L" TargetMode="External"/><Relationship Id="rId_hyperlink_992" Type="http://schemas.openxmlformats.org/officeDocument/2006/relationships/hyperlink" Target="https://www.diodes.com/assets/Datasheets/DMN3032L.pdf" TargetMode="External"/><Relationship Id="rId_hyperlink_993" Type="http://schemas.openxmlformats.org/officeDocument/2006/relationships/hyperlink" Target="https://www.diodes.com/part/view/DMN3032LE" TargetMode="External"/><Relationship Id="rId_hyperlink_994" Type="http://schemas.openxmlformats.org/officeDocument/2006/relationships/hyperlink" Target="https://www.diodes.com/assets/Datasheets/DMN3032LE.pdf" TargetMode="External"/><Relationship Id="rId_hyperlink_995" Type="http://schemas.openxmlformats.org/officeDocument/2006/relationships/hyperlink" Target="https://www.diodes.com/part/view/DMN3032LFDB" TargetMode="External"/><Relationship Id="rId_hyperlink_996" Type="http://schemas.openxmlformats.org/officeDocument/2006/relationships/hyperlink" Target="https://www.diodes.com/assets/Datasheets/DMN3032LFDB.pdf" TargetMode="External"/><Relationship Id="rId_hyperlink_997" Type="http://schemas.openxmlformats.org/officeDocument/2006/relationships/hyperlink" Target="https://www.diodes.com/part/view/DMN3032LFDBQ" TargetMode="External"/><Relationship Id="rId_hyperlink_998" Type="http://schemas.openxmlformats.org/officeDocument/2006/relationships/hyperlink" Target="https://www.diodes.com/assets/Datasheets/DMN3032LFDBQ.pdf" TargetMode="External"/><Relationship Id="rId_hyperlink_999" Type="http://schemas.openxmlformats.org/officeDocument/2006/relationships/hyperlink" Target="https://www.diodes.com/part/view/DMN3032LFDBWQ" TargetMode="External"/><Relationship Id="rId_hyperlink_1000" Type="http://schemas.openxmlformats.org/officeDocument/2006/relationships/hyperlink" Target="https://www.diodes.com/assets/Datasheets/DMN3032LFDBWQ.pdf" TargetMode="External"/><Relationship Id="rId_hyperlink_1001" Type="http://schemas.openxmlformats.org/officeDocument/2006/relationships/hyperlink" Target="https://www.diodes.com/part/view/DMN3032LQ" TargetMode="External"/><Relationship Id="rId_hyperlink_1002" Type="http://schemas.openxmlformats.org/officeDocument/2006/relationships/hyperlink" Target="https://www.diodes.com/assets/Datasheets/DMN3032LQ.pdf" TargetMode="External"/><Relationship Id="rId_hyperlink_1003" Type="http://schemas.openxmlformats.org/officeDocument/2006/relationships/hyperlink" Target="https://www.diodes.com/part/view/DMN3033LDM" TargetMode="External"/><Relationship Id="rId_hyperlink_1004" Type="http://schemas.openxmlformats.org/officeDocument/2006/relationships/hyperlink" Target="https://www.diodes.com/assets/Datasheets/ds31345.pdf" TargetMode="External"/><Relationship Id="rId_hyperlink_1005" Type="http://schemas.openxmlformats.org/officeDocument/2006/relationships/hyperlink" Target="https://www.diodes.com/part/view/DMN3033LSD" TargetMode="External"/><Relationship Id="rId_hyperlink_1006" Type="http://schemas.openxmlformats.org/officeDocument/2006/relationships/hyperlink" Target="https://www.diodes.com/assets/Datasheets/ds31262.pdf" TargetMode="External"/><Relationship Id="rId_hyperlink_1007" Type="http://schemas.openxmlformats.org/officeDocument/2006/relationships/hyperlink" Target="https://www.diodes.com/part/view/DMN3033LSDQ" TargetMode="External"/><Relationship Id="rId_hyperlink_1008" Type="http://schemas.openxmlformats.org/officeDocument/2006/relationships/hyperlink" Target="https://www.diodes.com/assets/Datasheets/DMN3033LSDQ.pdf" TargetMode="External"/><Relationship Id="rId_hyperlink_1009" Type="http://schemas.openxmlformats.org/officeDocument/2006/relationships/hyperlink" Target="https://www.diodes.com/part/view/DMN3033LSN" TargetMode="External"/><Relationship Id="rId_hyperlink_1010" Type="http://schemas.openxmlformats.org/officeDocument/2006/relationships/hyperlink" Target="https://www.diodes.com/assets/Datasheets/ds31116.pdf" TargetMode="External"/><Relationship Id="rId_hyperlink_1011" Type="http://schemas.openxmlformats.org/officeDocument/2006/relationships/hyperlink" Target="https://www.diodes.com/part/view/DMN3033LSNQ" TargetMode="External"/><Relationship Id="rId_hyperlink_1012" Type="http://schemas.openxmlformats.org/officeDocument/2006/relationships/hyperlink" Target="https://www.diodes.com/assets/Datasheets/DMN3033LSNQ.pdf" TargetMode="External"/><Relationship Id="rId_hyperlink_1013" Type="http://schemas.openxmlformats.org/officeDocument/2006/relationships/hyperlink" Target="https://www.diodes.com/part/view/DMN3035LWN" TargetMode="External"/><Relationship Id="rId_hyperlink_1014" Type="http://schemas.openxmlformats.org/officeDocument/2006/relationships/hyperlink" Target="https://www.diodes.com/assets/Datasheets/DMN3035LWN.pdf" TargetMode="External"/><Relationship Id="rId_hyperlink_1015" Type="http://schemas.openxmlformats.org/officeDocument/2006/relationships/hyperlink" Target="https://www.diodes.com/part/view/DMN3042L" TargetMode="External"/><Relationship Id="rId_hyperlink_1016" Type="http://schemas.openxmlformats.org/officeDocument/2006/relationships/hyperlink" Target="https://www.diodes.com/assets/Datasheets/DMN3042L.pdf" TargetMode="External"/><Relationship Id="rId_hyperlink_1017" Type="http://schemas.openxmlformats.org/officeDocument/2006/relationships/hyperlink" Target="https://www.diodes.com/part/view/DMN3042LFDF" TargetMode="External"/><Relationship Id="rId_hyperlink_1018" Type="http://schemas.openxmlformats.org/officeDocument/2006/relationships/hyperlink" Target="https://www.diodes.com/assets/Datasheets/DMN3042LFDF.pdf" TargetMode="External"/><Relationship Id="rId_hyperlink_1019" Type="http://schemas.openxmlformats.org/officeDocument/2006/relationships/hyperlink" Target="https://www.diodes.com/part/view/DMN3051L" TargetMode="External"/><Relationship Id="rId_hyperlink_1020" Type="http://schemas.openxmlformats.org/officeDocument/2006/relationships/hyperlink" Target="https://www.diodes.com/assets/Datasheets/ds31347.pdf" TargetMode="External"/><Relationship Id="rId_hyperlink_1021" Type="http://schemas.openxmlformats.org/officeDocument/2006/relationships/hyperlink" Target="https://www.diodes.com/part/view/DMN3051LDM" TargetMode="External"/><Relationship Id="rId_hyperlink_1022" Type="http://schemas.openxmlformats.org/officeDocument/2006/relationships/hyperlink" Target="https://www.diodes.com/assets/Datasheets/ds31523.pdf" TargetMode="External"/><Relationship Id="rId_hyperlink_1023" Type="http://schemas.openxmlformats.org/officeDocument/2006/relationships/hyperlink" Target="https://www.diodes.com/part/view/DMN3053L" TargetMode="External"/><Relationship Id="rId_hyperlink_1024" Type="http://schemas.openxmlformats.org/officeDocument/2006/relationships/hyperlink" Target="https://www.diodes.com/assets/Datasheets/DMN3053L.pdf" TargetMode="External"/><Relationship Id="rId_hyperlink_1025" Type="http://schemas.openxmlformats.org/officeDocument/2006/relationships/hyperlink" Target="https://www.diodes.com/part/view/DMN3055LFDB" TargetMode="External"/><Relationship Id="rId_hyperlink_1026" Type="http://schemas.openxmlformats.org/officeDocument/2006/relationships/hyperlink" Target="https://www.diodes.com/assets/Datasheets/DMN3055LFDB.pdf" TargetMode="External"/><Relationship Id="rId_hyperlink_1027" Type="http://schemas.openxmlformats.org/officeDocument/2006/relationships/hyperlink" Target="https://www.diodes.com/part/view/DMN3055LFDBQ" TargetMode="External"/><Relationship Id="rId_hyperlink_1028" Type="http://schemas.openxmlformats.org/officeDocument/2006/relationships/hyperlink" Target="https://www.diodes.com/assets/Datasheets/DMN3055LFDBQ.pdf" TargetMode="External"/><Relationship Id="rId_hyperlink_1029" Type="http://schemas.openxmlformats.org/officeDocument/2006/relationships/hyperlink" Target="https://www.diodes.com/part/view/DMN3060LCA3" TargetMode="External"/><Relationship Id="rId_hyperlink_1030" Type="http://schemas.openxmlformats.org/officeDocument/2006/relationships/hyperlink" Target="https://www.diodes.com/assets/Datasheets/DMN3060LCA3.pdf" TargetMode="External"/><Relationship Id="rId_hyperlink_1031" Type="http://schemas.openxmlformats.org/officeDocument/2006/relationships/hyperlink" Target="https://www.diodes.com/part/view/DMN3060LVT" TargetMode="External"/><Relationship Id="rId_hyperlink_1032" Type="http://schemas.openxmlformats.org/officeDocument/2006/relationships/hyperlink" Target="https://www.diodes.com/assets/Datasheets/DMN3060LVT.pdf" TargetMode="External"/><Relationship Id="rId_hyperlink_1033" Type="http://schemas.openxmlformats.org/officeDocument/2006/relationships/hyperlink" Target="https://www.diodes.com/part/view/DMN3060LW" TargetMode="External"/><Relationship Id="rId_hyperlink_1034" Type="http://schemas.openxmlformats.org/officeDocument/2006/relationships/hyperlink" Target="https://www.diodes.com/assets/Datasheets/DMN3060LW.pdf" TargetMode="External"/><Relationship Id="rId_hyperlink_1035" Type="http://schemas.openxmlformats.org/officeDocument/2006/relationships/hyperlink" Target="https://www.diodes.com/part/view/DMN3060LWQ" TargetMode="External"/><Relationship Id="rId_hyperlink_1036" Type="http://schemas.openxmlformats.org/officeDocument/2006/relationships/hyperlink" Target="https://www.diodes.com/assets/Datasheets/DMN3060LWQ.pdf" TargetMode="External"/><Relationship Id="rId_hyperlink_1037" Type="http://schemas.openxmlformats.org/officeDocument/2006/relationships/hyperlink" Target="https://www.diodes.com/part/view/DMN3061LCA3" TargetMode="External"/><Relationship Id="rId_hyperlink_1038" Type="http://schemas.openxmlformats.org/officeDocument/2006/relationships/hyperlink" Target="https://www.diodes.com/assets/Datasheets/DMN3061LCA3.pdf" TargetMode="External"/><Relationship Id="rId_hyperlink_1039" Type="http://schemas.openxmlformats.org/officeDocument/2006/relationships/hyperlink" Target="https://www.diodes.com/part/view/DMN3061S" TargetMode="External"/><Relationship Id="rId_hyperlink_1040" Type="http://schemas.openxmlformats.org/officeDocument/2006/relationships/hyperlink" Target="https://www.diodes.com/assets/Datasheets/DMN3061S.pdf" TargetMode="External"/><Relationship Id="rId_hyperlink_1041" Type="http://schemas.openxmlformats.org/officeDocument/2006/relationships/hyperlink" Target="https://www.diodes.com/part/view/DMN3061SQ" TargetMode="External"/><Relationship Id="rId_hyperlink_1042" Type="http://schemas.openxmlformats.org/officeDocument/2006/relationships/hyperlink" Target="https://www.diodes.com/assets/Datasheets/DMN3061SQ.pdf" TargetMode="External"/><Relationship Id="rId_hyperlink_1043" Type="http://schemas.openxmlformats.org/officeDocument/2006/relationships/hyperlink" Target="https://www.diodes.com/part/view/DMN3061SVT" TargetMode="External"/><Relationship Id="rId_hyperlink_1044" Type="http://schemas.openxmlformats.org/officeDocument/2006/relationships/hyperlink" Target="https://www.diodes.com/assets/Datasheets/DMN3061SVT.pdf" TargetMode="External"/><Relationship Id="rId_hyperlink_1045" Type="http://schemas.openxmlformats.org/officeDocument/2006/relationships/hyperlink" Target="https://www.diodes.com/part/view/DMN3061SVTQ" TargetMode="External"/><Relationship Id="rId_hyperlink_1046" Type="http://schemas.openxmlformats.org/officeDocument/2006/relationships/hyperlink" Target="https://www.diodes.com/assets/Datasheets/DMN3061SVTQ.pdf" TargetMode="External"/><Relationship Id="rId_hyperlink_1047" Type="http://schemas.openxmlformats.org/officeDocument/2006/relationships/hyperlink" Target="https://www.diodes.com/part/view/DMN3061SW" TargetMode="External"/><Relationship Id="rId_hyperlink_1048" Type="http://schemas.openxmlformats.org/officeDocument/2006/relationships/hyperlink" Target="https://www.diodes.com/assets/Datasheets/DMN3061SW.pdf" TargetMode="External"/><Relationship Id="rId_hyperlink_1049" Type="http://schemas.openxmlformats.org/officeDocument/2006/relationships/hyperlink" Target="https://www.diodes.com/part/view/DMN3061SWQ" TargetMode="External"/><Relationship Id="rId_hyperlink_1050" Type="http://schemas.openxmlformats.org/officeDocument/2006/relationships/hyperlink" Target="https://www.diodes.com/assets/Datasheets/DMN3061SWQ.pdf" TargetMode="External"/><Relationship Id="rId_hyperlink_1051" Type="http://schemas.openxmlformats.org/officeDocument/2006/relationships/hyperlink" Target="https://www.diodes.com/part/view/DMN3065LW" TargetMode="External"/><Relationship Id="rId_hyperlink_1052" Type="http://schemas.openxmlformats.org/officeDocument/2006/relationships/hyperlink" Target="https://www.diodes.com/assets/Datasheets/DMN3065LW.pdf" TargetMode="External"/><Relationship Id="rId_hyperlink_1053" Type="http://schemas.openxmlformats.org/officeDocument/2006/relationships/hyperlink" Target="https://www.diodes.com/part/view/DMN3066L" TargetMode="External"/><Relationship Id="rId_hyperlink_1054" Type="http://schemas.openxmlformats.org/officeDocument/2006/relationships/hyperlink" Target="https://www.diodes.com/assets/Datasheets/DMN3066L.pdf" TargetMode="External"/><Relationship Id="rId_hyperlink_1055" Type="http://schemas.openxmlformats.org/officeDocument/2006/relationships/hyperlink" Target="https://www.diodes.com/part/view/DMN3066LQ" TargetMode="External"/><Relationship Id="rId_hyperlink_1056" Type="http://schemas.openxmlformats.org/officeDocument/2006/relationships/hyperlink" Target="https://www.diodes.com/assets/Datasheets/DMN3066LQ.pdf" TargetMode="External"/><Relationship Id="rId_hyperlink_1057" Type="http://schemas.openxmlformats.org/officeDocument/2006/relationships/hyperlink" Target="https://www.diodes.com/part/view/DMN3066LVT" TargetMode="External"/><Relationship Id="rId_hyperlink_1058" Type="http://schemas.openxmlformats.org/officeDocument/2006/relationships/hyperlink" Target="https://www.diodes.com/assets/Datasheets/DMN3066LVT.pdf" TargetMode="External"/><Relationship Id="rId_hyperlink_1059" Type="http://schemas.openxmlformats.org/officeDocument/2006/relationships/hyperlink" Target="https://www.diodes.com/part/view/DMN3066LVTQ" TargetMode="External"/><Relationship Id="rId_hyperlink_1060" Type="http://schemas.openxmlformats.org/officeDocument/2006/relationships/hyperlink" Target="https://www.diodes.com/assets/Datasheets/DMN3066LVTQ.pdf" TargetMode="External"/><Relationship Id="rId_hyperlink_1061" Type="http://schemas.openxmlformats.org/officeDocument/2006/relationships/hyperlink" Target="https://www.diodes.com/part/view/DMN3067LW" TargetMode="External"/><Relationship Id="rId_hyperlink_1062" Type="http://schemas.openxmlformats.org/officeDocument/2006/relationships/hyperlink" Target="https://www.diodes.com/assets/Datasheets/DMN3067LW.pdf" TargetMode="External"/><Relationship Id="rId_hyperlink_1063" Type="http://schemas.openxmlformats.org/officeDocument/2006/relationships/hyperlink" Target="https://www.diodes.com/part/view/DMN3069L" TargetMode="External"/><Relationship Id="rId_hyperlink_1064" Type="http://schemas.openxmlformats.org/officeDocument/2006/relationships/hyperlink" Target="https://www.diodes.com/assets/Datasheets/DMN3069L.pdf" TargetMode="External"/><Relationship Id="rId_hyperlink_1065" Type="http://schemas.openxmlformats.org/officeDocument/2006/relationships/hyperlink" Target="https://www.diodes.com/part/view/DMN3070SSN" TargetMode="External"/><Relationship Id="rId_hyperlink_1066" Type="http://schemas.openxmlformats.org/officeDocument/2006/relationships/hyperlink" Target="https://www.diodes.com/assets/Datasheets/DMN3070SSN.pdf" TargetMode="External"/><Relationship Id="rId_hyperlink_1067" Type="http://schemas.openxmlformats.org/officeDocument/2006/relationships/hyperlink" Target="https://www.diodes.com/part/view/DMN3071LFR4" TargetMode="External"/><Relationship Id="rId_hyperlink_1068" Type="http://schemas.openxmlformats.org/officeDocument/2006/relationships/hyperlink" Target="https://www.diodes.com/assets/Datasheets/DMN3071LFR4.pdf" TargetMode="External"/><Relationship Id="rId_hyperlink_1069" Type="http://schemas.openxmlformats.org/officeDocument/2006/relationships/hyperlink" Target="https://www.diodes.com/part/view/DMN30H4D0L" TargetMode="External"/><Relationship Id="rId_hyperlink_1070" Type="http://schemas.openxmlformats.org/officeDocument/2006/relationships/hyperlink" Target="https://www.diodes.com/assets/Datasheets/DMN30H4D0L.pdf" TargetMode="External"/><Relationship Id="rId_hyperlink_1071" Type="http://schemas.openxmlformats.org/officeDocument/2006/relationships/hyperlink" Target="https://www.diodes.com/part/view/DMN30H4D0LFDE" TargetMode="External"/><Relationship Id="rId_hyperlink_1072" Type="http://schemas.openxmlformats.org/officeDocument/2006/relationships/hyperlink" Target="https://www.diodes.com/assets/Datasheets/DMN30H4D0LFDE.pdf" TargetMode="External"/><Relationship Id="rId_hyperlink_1073" Type="http://schemas.openxmlformats.org/officeDocument/2006/relationships/hyperlink" Target="https://www.diodes.com/part/view/DMN3110S" TargetMode="External"/><Relationship Id="rId_hyperlink_1074" Type="http://schemas.openxmlformats.org/officeDocument/2006/relationships/hyperlink" Target="https://www.diodes.com/assets/Datasheets/DMN3110S.pdf" TargetMode="External"/><Relationship Id="rId_hyperlink_1075" Type="http://schemas.openxmlformats.org/officeDocument/2006/relationships/hyperlink" Target="https://www.diodes.com/part/view/DMN3112SQ" TargetMode="External"/><Relationship Id="rId_hyperlink_1076" Type="http://schemas.openxmlformats.org/officeDocument/2006/relationships/hyperlink" Target="https://www.diodes.com/assets/Datasheets/DMN3112SQ.pdf" TargetMode="External"/><Relationship Id="rId_hyperlink_1077" Type="http://schemas.openxmlformats.org/officeDocument/2006/relationships/hyperlink" Target="https://www.diodes.com/part/view/DMN3135LVT" TargetMode="External"/><Relationship Id="rId_hyperlink_1078" Type="http://schemas.openxmlformats.org/officeDocument/2006/relationships/hyperlink" Target="https://www.diodes.com/assets/Datasheets/DMN3135LVT.pdf" TargetMode="External"/><Relationship Id="rId_hyperlink_1079" Type="http://schemas.openxmlformats.org/officeDocument/2006/relationships/hyperlink" Target="https://www.diodes.com/part/view/DMN313DLT" TargetMode="External"/><Relationship Id="rId_hyperlink_1080" Type="http://schemas.openxmlformats.org/officeDocument/2006/relationships/hyperlink" Target="https://www.diodes.com/assets/Datasheets/DMN313DLT.pdf" TargetMode="External"/><Relationship Id="rId_hyperlink_1081" Type="http://schemas.openxmlformats.org/officeDocument/2006/relationships/hyperlink" Target="https://www.diodes.com/part/view/DMN3150L" TargetMode="External"/><Relationship Id="rId_hyperlink_1082" Type="http://schemas.openxmlformats.org/officeDocument/2006/relationships/hyperlink" Target="https://www.diodes.com/assets/Datasheets/ds31126.pdf" TargetMode="External"/><Relationship Id="rId_hyperlink_1083" Type="http://schemas.openxmlformats.org/officeDocument/2006/relationships/hyperlink" Target="https://www.diodes.com/part/view/DMN3150LW" TargetMode="External"/><Relationship Id="rId_hyperlink_1084" Type="http://schemas.openxmlformats.org/officeDocument/2006/relationships/hyperlink" Target="https://www.diodes.com/assets/Datasheets/ds31514.pdf" TargetMode="External"/><Relationship Id="rId_hyperlink_1085" Type="http://schemas.openxmlformats.org/officeDocument/2006/relationships/hyperlink" Target="https://www.diodes.com/part/view/DMN3190LDW" TargetMode="External"/><Relationship Id="rId_hyperlink_1086" Type="http://schemas.openxmlformats.org/officeDocument/2006/relationships/hyperlink" Target="https://www.diodes.com/assets/Datasheets/DMN3190LDW.pdf" TargetMode="External"/><Relationship Id="rId_hyperlink_1087" Type="http://schemas.openxmlformats.org/officeDocument/2006/relationships/hyperlink" Target="https://www.diodes.com/part/view/DMN3190LDWQ" TargetMode="External"/><Relationship Id="rId_hyperlink_1088" Type="http://schemas.openxmlformats.org/officeDocument/2006/relationships/hyperlink" Target="https://www.diodes.com/assets/Datasheets/DMN3190LDWQ.pdf" TargetMode="External"/><Relationship Id="rId_hyperlink_1089" Type="http://schemas.openxmlformats.org/officeDocument/2006/relationships/hyperlink" Target="https://www.diodes.com/part/view/DMN31D4UFZ" TargetMode="External"/><Relationship Id="rId_hyperlink_1090" Type="http://schemas.openxmlformats.org/officeDocument/2006/relationships/hyperlink" Target="https://www.diodes.com/assets/Datasheets/DMN31D4UFZ.pdf" TargetMode="External"/><Relationship Id="rId_hyperlink_1091" Type="http://schemas.openxmlformats.org/officeDocument/2006/relationships/hyperlink" Target="https://www.diodes.com/part/view/DMN31D5L" TargetMode="External"/><Relationship Id="rId_hyperlink_1092" Type="http://schemas.openxmlformats.org/officeDocument/2006/relationships/hyperlink" Target="https://www.diodes.com/assets/Datasheets/DMN31D5L.pdf" TargetMode="External"/><Relationship Id="rId_hyperlink_1093" Type="http://schemas.openxmlformats.org/officeDocument/2006/relationships/hyperlink" Target="https://www.diodes.com/part/view/DMN31D5UDA" TargetMode="External"/><Relationship Id="rId_hyperlink_1094" Type="http://schemas.openxmlformats.org/officeDocument/2006/relationships/hyperlink" Target="https://www.diodes.com/assets/Datasheets/DMN31D5UDA.pdf" TargetMode="External"/><Relationship Id="rId_hyperlink_1095" Type="http://schemas.openxmlformats.org/officeDocument/2006/relationships/hyperlink" Target="https://www.diodes.com/part/view/DMN31D5UDAQ" TargetMode="External"/><Relationship Id="rId_hyperlink_1096" Type="http://schemas.openxmlformats.org/officeDocument/2006/relationships/hyperlink" Target="https://www.diodes.com/assets/Datasheets/DMN31D5UDAQ.pdf" TargetMode="External"/><Relationship Id="rId_hyperlink_1097" Type="http://schemas.openxmlformats.org/officeDocument/2006/relationships/hyperlink" Target="https://www.diodes.com/part/view/DMN31D5UDJ" TargetMode="External"/><Relationship Id="rId_hyperlink_1098" Type="http://schemas.openxmlformats.org/officeDocument/2006/relationships/hyperlink" Target="https://www.diodes.com/assets/Datasheets/DMN31D5UDJ.pdf" TargetMode="External"/><Relationship Id="rId_hyperlink_1099" Type="http://schemas.openxmlformats.org/officeDocument/2006/relationships/hyperlink" Target="https://www.diodes.com/part/view/DMN31D5UDW" TargetMode="External"/><Relationship Id="rId_hyperlink_1100" Type="http://schemas.openxmlformats.org/officeDocument/2006/relationships/hyperlink" Target="https://www.diodes.com/assets/Datasheets/DMN31D5UDW.pdf" TargetMode="External"/><Relationship Id="rId_hyperlink_1101" Type="http://schemas.openxmlformats.org/officeDocument/2006/relationships/hyperlink" Target="https://www.diodes.com/part/view/DMN31D5UFA" TargetMode="External"/><Relationship Id="rId_hyperlink_1102" Type="http://schemas.openxmlformats.org/officeDocument/2006/relationships/hyperlink" Target="https://www.diodes.com/assets/Datasheets/DMN31D5UFA.pdf" TargetMode="External"/><Relationship Id="rId_hyperlink_1103" Type="http://schemas.openxmlformats.org/officeDocument/2006/relationships/hyperlink" Target="https://www.diodes.com/part/view/DMN31D5UFO" TargetMode="External"/><Relationship Id="rId_hyperlink_1104" Type="http://schemas.openxmlformats.org/officeDocument/2006/relationships/hyperlink" Target="https://www.diodes.com/assets/Datasheets/DMN31D5UFO.pdf" TargetMode="External"/><Relationship Id="rId_hyperlink_1105" Type="http://schemas.openxmlformats.org/officeDocument/2006/relationships/hyperlink" Target="https://www.diodes.com/part/view/DMN31D5UFZ" TargetMode="External"/><Relationship Id="rId_hyperlink_1106" Type="http://schemas.openxmlformats.org/officeDocument/2006/relationships/hyperlink" Target="https://www.diodes.com/assets/Datasheets/DMN31D5UFZ.pdf" TargetMode="External"/><Relationship Id="rId_hyperlink_1107" Type="http://schemas.openxmlformats.org/officeDocument/2006/relationships/hyperlink" Target="https://www.diodes.com/part/view/DMN31D5UFZQ" TargetMode="External"/><Relationship Id="rId_hyperlink_1108" Type="http://schemas.openxmlformats.org/officeDocument/2006/relationships/hyperlink" Target="https://www.diodes.com/assets/Datasheets/DMN31D5UFZQ.pdf" TargetMode="External"/><Relationship Id="rId_hyperlink_1109" Type="http://schemas.openxmlformats.org/officeDocument/2006/relationships/hyperlink" Target="https://www.diodes.com/part/view/DMN31D6UT" TargetMode="External"/><Relationship Id="rId_hyperlink_1110" Type="http://schemas.openxmlformats.org/officeDocument/2006/relationships/hyperlink" Target="https://www.diodes.com/assets/Datasheets/DMN31D6UT.pdf" TargetMode="External"/><Relationship Id="rId_hyperlink_1111" Type="http://schemas.openxmlformats.org/officeDocument/2006/relationships/hyperlink" Target="https://www.diodes.com/part/view/DMN3200U" TargetMode="External"/><Relationship Id="rId_hyperlink_1112" Type="http://schemas.openxmlformats.org/officeDocument/2006/relationships/hyperlink" Target="https://www.diodes.com/assets/Datasheets/ds31188.pdf" TargetMode="External"/><Relationship Id="rId_hyperlink_1113" Type="http://schemas.openxmlformats.org/officeDocument/2006/relationships/hyperlink" Target="https://www.diodes.com/part/view/DMN3270UVT" TargetMode="External"/><Relationship Id="rId_hyperlink_1114" Type="http://schemas.openxmlformats.org/officeDocument/2006/relationships/hyperlink" Target="https://www.diodes.com/assets/Datasheets/DMN3270UVT.pdf" TargetMode="External"/><Relationship Id="rId_hyperlink_1115" Type="http://schemas.openxmlformats.org/officeDocument/2006/relationships/hyperlink" Target="https://www.diodes.com/part/view/DMN32D0LFB4" TargetMode="External"/><Relationship Id="rId_hyperlink_1116" Type="http://schemas.openxmlformats.org/officeDocument/2006/relationships/hyperlink" Target="https://www.diodes.com/assets/Datasheets/DMN32D0LFB4.pdf" TargetMode="External"/><Relationship Id="rId_hyperlink_1117" Type="http://schemas.openxmlformats.org/officeDocument/2006/relationships/hyperlink" Target="https://www.diodes.com/part/view/DMN32D0LV" TargetMode="External"/><Relationship Id="rId_hyperlink_1118" Type="http://schemas.openxmlformats.org/officeDocument/2006/relationships/hyperlink" Target="https://www.diodes.com/assets/Datasheets/DMN32D0LV.pdf" TargetMode="External"/><Relationship Id="rId_hyperlink_1119" Type="http://schemas.openxmlformats.org/officeDocument/2006/relationships/hyperlink" Target="https://www.diodes.com/part/view/DMN32D0LVQ" TargetMode="External"/><Relationship Id="rId_hyperlink_1120" Type="http://schemas.openxmlformats.org/officeDocument/2006/relationships/hyperlink" Target="https://www.diodes.com/assets/Datasheets/DMN32D0LVQ.pdf" TargetMode="External"/><Relationship Id="rId_hyperlink_1121" Type="http://schemas.openxmlformats.org/officeDocument/2006/relationships/hyperlink" Target="https://www.diodes.com/part/view/DMN32D2LDF" TargetMode="External"/><Relationship Id="rId_hyperlink_1122" Type="http://schemas.openxmlformats.org/officeDocument/2006/relationships/hyperlink" Target="https://www.diodes.com/assets/Datasheets/ds31238.pdf" TargetMode="External"/><Relationship Id="rId_hyperlink_1123" Type="http://schemas.openxmlformats.org/officeDocument/2006/relationships/hyperlink" Target="https://www.diodes.com/part/view/DMN32D2LFB4" TargetMode="External"/><Relationship Id="rId_hyperlink_1124" Type="http://schemas.openxmlformats.org/officeDocument/2006/relationships/hyperlink" Target="https://www.diodes.com/assets/Datasheets/ds31124.pdf" TargetMode="External"/><Relationship Id="rId_hyperlink_1125" Type="http://schemas.openxmlformats.org/officeDocument/2006/relationships/hyperlink" Target="https://www.diodes.com/part/view/DMN32D4SDW" TargetMode="External"/><Relationship Id="rId_hyperlink_1126" Type="http://schemas.openxmlformats.org/officeDocument/2006/relationships/hyperlink" Target="https://www.diodes.com/assets/Datasheets/DMN32D4SDW.pdf" TargetMode="External"/><Relationship Id="rId_hyperlink_1127" Type="http://schemas.openxmlformats.org/officeDocument/2006/relationships/hyperlink" Target="https://www.diodes.com/part/view/DMN32M6LCA8" TargetMode="External"/><Relationship Id="rId_hyperlink_1128" Type="http://schemas.openxmlformats.org/officeDocument/2006/relationships/hyperlink" Target="https://www.diodes.com/assets/Datasheets/DMN32M6LCA8.pdf" TargetMode="External"/><Relationship Id="rId_hyperlink_1129" Type="http://schemas.openxmlformats.org/officeDocument/2006/relationships/hyperlink" Target="https://www.diodes.com/part/view/DMN3300U" TargetMode="External"/><Relationship Id="rId_hyperlink_1130" Type="http://schemas.openxmlformats.org/officeDocument/2006/relationships/hyperlink" Target="https://www.diodes.com/assets/Datasheets/ds31181.pdf" TargetMode="External"/><Relationship Id="rId_hyperlink_1131" Type="http://schemas.openxmlformats.org/officeDocument/2006/relationships/hyperlink" Target="https://www.diodes.com/part/view/DMN3300UQ" TargetMode="External"/><Relationship Id="rId_hyperlink_1132" Type="http://schemas.openxmlformats.org/officeDocument/2006/relationships/hyperlink" Target="https://www.diodes.com/assets/Datasheets/DMN3300UQ.pdf" TargetMode="External"/><Relationship Id="rId_hyperlink_1133" Type="http://schemas.openxmlformats.org/officeDocument/2006/relationships/hyperlink" Target="https://www.diodes.com/part/view/DMN3350LDW" TargetMode="External"/><Relationship Id="rId_hyperlink_1134" Type="http://schemas.openxmlformats.org/officeDocument/2006/relationships/hyperlink" Target="https://www.diodes.com/assets/Datasheets/DMN3350LDW.pdf" TargetMode="External"/><Relationship Id="rId_hyperlink_1135" Type="http://schemas.openxmlformats.org/officeDocument/2006/relationships/hyperlink" Target="https://www.diodes.com/part/view/DMN3350LDWQ" TargetMode="External"/><Relationship Id="rId_hyperlink_1136" Type="http://schemas.openxmlformats.org/officeDocument/2006/relationships/hyperlink" Target="https://www.diodes.com/assets/Datasheets/DMN3350LDWQ.pdf" TargetMode="External"/><Relationship Id="rId_hyperlink_1137" Type="http://schemas.openxmlformats.org/officeDocument/2006/relationships/hyperlink" Target="https://www.diodes.com/part/view/DMN3350LFB" TargetMode="External"/><Relationship Id="rId_hyperlink_1138" Type="http://schemas.openxmlformats.org/officeDocument/2006/relationships/hyperlink" Target="https://www.diodes.com/assets/Datasheets/DMN3350LFB.pdf" TargetMode="External"/><Relationship Id="rId_hyperlink_1139" Type="http://schemas.openxmlformats.org/officeDocument/2006/relationships/hyperlink" Target="https://www.diodes.com/part/view/DMN33D8L" TargetMode="External"/><Relationship Id="rId_hyperlink_1140" Type="http://schemas.openxmlformats.org/officeDocument/2006/relationships/hyperlink" Target="https://www.diodes.com/assets/Datasheets/DMN33D8L.pdf" TargetMode="External"/><Relationship Id="rId_hyperlink_1141" Type="http://schemas.openxmlformats.org/officeDocument/2006/relationships/hyperlink" Target="https://www.diodes.com/part/view/DMN33D8LDW" TargetMode="External"/><Relationship Id="rId_hyperlink_1142" Type="http://schemas.openxmlformats.org/officeDocument/2006/relationships/hyperlink" Target="https://www.diodes.com/assets/Datasheets/DMN33D8LDW.pdf" TargetMode="External"/><Relationship Id="rId_hyperlink_1143" Type="http://schemas.openxmlformats.org/officeDocument/2006/relationships/hyperlink" Target="https://www.diodes.com/part/view/DMN33D8LDWQ" TargetMode="External"/><Relationship Id="rId_hyperlink_1144" Type="http://schemas.openxmlformats.org/officeDocument/2006/relationships/hyperlink" Target="https://www.diodes.com/assets/Datasheets/DMN33D8LDWQ.pdf" TargetMode="External"/><Relationship Id="rId_hyperlink_1145" Type="http://schemas.openxmlformats.org/officeDocument/2006/relationships/hyperlink" Target="https://www.diodes.com/part/view/DMN33D8LT" TargetMode="External"/><Relationship Id="rId_hyperlink_1146" Type="http://schemas.openxmlformats.org/officeDocument/2006/relationships/hyperlink" Target="https://www.diodes.com/assets/Datasheets/DMN33D8LT.pdf" TargetMode="External"/><Relationship Id="rId_hyperlink_1147" Type="http://schemas.openxmlformats.org/officeDocument/2006/relationships/hyperlink" Target="https://www.diodes.com/part/view/DMN33D8LTQ" TargetMode="External"/><Relationship Id="rId_hyperlink_1148" Type="http://schemas.openxmlformats.org/officeDocument/2006/relationships/hyperlink" Target="https://www.diodes.com/assets/Datasheets/DMN33D8LTQ.pdf" TargetMode="External"/><Relationship Id="rId_hyperlink_1149" Type="http://schemas.openxmlformats.org/officeDocument/2006/relationships/hyperlink" Target="https://www.diodes.com/part/view/DMN33D8LV" TargetMode="External"/><Relationship Id="rId_hyperlink_1150" Type="http://schemas.openxmlformats.org/officeDocument/2006/relationships/hyperlink" Target="https://www.diodes.com/assets/Datasheets/DMN33D8LV.pdf" TargetMode="External"/><Relationship Id="rId_hyperlink_1151" Type="http://schemas.openxmlformats.org/officeDocument/2006/relationships/hyperlink" Target="https://www.diodes.com/part/view/DMN33D8LVQ" TargetMode="External"/><Relationship Id="rId_hyperlink_1152" Type="http://schemas.openxmlformats.org/officeDocument/2006/relationships/hyperlink" Target="https://www.diodes.com/assets/Datasheets/DMN33D8LVQ.pdf" TargetMode="External"/><Relationship Id="rId_hyperlink_1153" Type="http://schemas.openxmlformats.org/officeDocument/2006/relationships/hyperlink" Target="https://www.diodes.com/part/view/DMN33D9LV" TargetMode="External"/><Relationship Id="rId_hyperlink_1154" Type="http://schemas.openxmlformats.org/officeDocument/2006/relationships/hyperlink" Target="https://www.diodes.com/assets/Datasheets/DMN33D9LV.pdf" TargetMode="External"/><Relationship Id="rId_hyperlink_1155" Type="http://schemas.openxmlformats.org/officeDocument/2006/relationships/hyperlink" Target="https://www.diodes.com/part/view/DMN3401LDW" TargetMode="External"/><Relationship Id="rId_hyperlink_1156" Type="http://schemas.openxmlformats.org/officeDocument/2006/relationships/hyperlink" Target="https://www.diodes.com/assets/Datasheets/DMN3401LDW.pdf" TargetMode="External"/><Relationship Id="rId_hyperlink_1157" Type="http://schemas.openxmlformats.org/officeDocument/2006/relationships/hyperlink" Target="https://www.diodes.com/part/view/DMN3401LDWQ" TargetMode="External"/><Relationship Id="rId_hyperlink_1158" Type="http://schemas.openxmlformats.org/officeDocument/2006/relationships/hyperlink" Target="https://www.diodes.com/assets/Datasheets/DMN3401LDWQ.pdf" TargetMode="External"/><Relationship Id="rId_hyperlink_1159" Type="http://schemas.openxmlformats.org/officeDocument/2006/relationships/hyperlink" Target="https://www.diodes.com/part/view/DMN3401LV" TargetMode="External"/><Relationship Id="rId_hyperlink_1160" Type="http://schemas.openxmlformats.org/officeDocument/2006/relationships/hyperlink" Target="https://www.diodes.com/assets/Datasheets/DMN3401LV.pdf" TargetMode="External"/><Relationship Id="rId_hyperlink_1161" Type="http://schemas.openxmlformats.org/officeDocument/2006/relationships/hyperlink" Target="https://www.diodes.com/part/view/DMN3401LVQ" TargetMode="External"/><Relationship Id="rId_hyperlink_1162" Type="http://schemas.openxmlformats.org/officeDocument/2006/relationships/hyperlink" Target="https://www.diodes.com/assets/Datasheets/DMN3401LVQ.pdf" TargetMode="External"/><Relationship Id="rId_hyperlink_1163" Type="http://schemas.openxmlformats.org/officeDocument/2006/relationships/hyperlink" Target="https://www.diodes.com/part/view/DMN3404L" TargetMode="External"/><Relationship Id="rId_hyperlink_1164" Type="http://schemas.openxmlformats.org/officeDocument/2006/relationships/hyperlink" Target="https://www.diodes.com/assets/Datasheets/DMN3404L.pdf" TargetMode="External"/><Relationship Id="rId_hyperlink_1165" Type="http://schemas.openxmlformats.org/officeDocument/2006/relationships/hyperlink" Target="https://www.diodes.com/part/view/DMN34D0U" TargetMode="External"/><Relationship Id="rId_hyperlink_1166" Type="http://schemas.openxmlformats.org/officeDocument/2006/relationships/hyperlink" Target="https://www.diodes.com/assets/Datasheets/DMN34D0U.pdf" TargetMode="External"/><Relationship Id="rId_hyperlink_1167" Type="http://schemas.openxmlformats.org/officeDocument/2006/relationships/hyperlink" Target="https://www.diodes.com/part/view/DMN3730UFB" TargetMode="External"/><Relationship Id="rId_hyperlink_1168" Type="http://schemas.openxmlformats.org/officeDocument/2006/relationships/hyperlink" Target="https://www.diodes.com/assets/Datasheets/DMN3730UFB.pdf" TargetMode="External"/><Relationship Id="rId_hyperlink_1169" Type="http://schemas.openxmlformats.org/officeDocument/2006/relationships/hyperlink" Target="https://www.diodes.com/part/view/DMN3730UFB4" TargetMode="External"/><Relationship Id="rId_hyperlink_1170" Type="http://schemas.openxmlformats.org/officeDocument/2006/relationships/hyperlink" Target="https://www.diodes.com/assets/Datasheets/DMN3730UFB4.pdf" TargetMode="External"/><Relationship Id="rId_hyperlink_1171" Type="http://schemas.openxmlformats.org/officeDocument/2006/relationships/hyperlink" Target="https://www.diodes.com/part/view/DMN3731U" TargetMode="External"/><Relationship Id="rId_hyperlink_1172" Type="http://schemas.openxmlformats.org/officeDocument/2006/relationships/hyperlink" Target="https://www.diodes.com/assets/Datasheets/DMN3731U.pdf" TargetMode="External"/><Relationship Id="rId_hyperlink_1173" Type="http://schemas.openxmlformats.org/officeDocument/2006/relationships/hyperlink" Target="https://www.diodes.com/part/view/DMN3731UFB4" TargetMode="External"/><Relationship Id="rId_hyperlink_1174" Type="http://schemas.openxmlformats.org/officeDocument/2006/relationships/hyperlink" Target="https://www.diodes.com/assets/Datasheets/DMN3731UFB4.pdf" TargetMode="External"/><Relationship Id="rId_hyperlink_1175" Type="http://schemas.openxmlformats.org/officeDocument/2006/relationships/hyperlink" Target="https://www.diodes.com/part/view/DMN3732U" TargetMode="External"/><Relationship Id="rId_hyperlink_1176" Type="http://schemas.openxmlformats.org/officeDocument/2006/relationships/hyperlink" Target="https://www.diodes.com/assets/Datasheets/DMN3732U.pdf" TargetMode="External"/><Relationship Id="rId_hyperlink_1177" Type="http://schemas.openxmlformats.org/officeDocument/2006/relationships/hyperlink" Target="https://www.diodes.com/part/view/DMN3732UFB4" TargetMode="External"/><Relationship Id="rId_hyperlink_1178" Type="http://schemas.openxmlformats.org/officeDocument/2006/relationships/hyperlink" Target="https://www.diodes.com/assets/Datasheets/DMN3732UFB4.pdf" TargetMode="External"/><Relationship Id="rId_hyperlink_1179" Type="http://schemas.openxmlformats.org/officeDocument/2006/relationships/hyperlink" Target="https://www.diodes.com/part/view/DMN3732UFB4Q" TargetMode="External"/><Relationship Id="rId_hyperlink_1180" Type="http://schemas.openxmlformats.org/officeDocument/2006/relationships/hyperlink" Target="https://www.diodes.com/assets/Datasheets/DMN3732UFB4Q.pdf" TargetMode="External"/><Relationship Id="rId_hyperlink_1181" Type="http://schemas.openxmlformats.org/officeDocument/2006/relationships/hyperlink" Target="https://www.diodes.com/part/view/DMN3732UQ" TargetMode="External"/><Relationship Id="rId_hyperlink_1182" Type="http://schemas.openxmlformats.org/officeDocument/2006/relationships/hyperlink" Target="https://www.diodes.com/assets/Datasheets/DMN3732UQ.pdf" TargetMode="External"/><Relationship Id="rId_hyperlink_1183" Type="http://schemas.openxmlformats.org/officeDocument/2006/relationships/hyperlink" Target="https://www.diodes.com/part/view/DMN3732UVT" TargetMode="External"/><Relationship Id="rId_hyperlink_1184" Type="http://schemas.openxmlformats.org/officeDocument/2006/relationships/hyperlink" Target="https://www.diodes.com/assets/Datasheets/DMN3732UVT.pdf" TargetMode="External"/><Relationship Id="rId_hyperlink_1185" Type="http://schemas.openxmlformats.org/officeDocument/2006/relationships/hyperlink" Target="https://www.diodes.com/part/view/DMN3732UVTQ" TargetMode="External"/><Relationship Id="rId_hyperlink_1186" Type="http://schemas.openxmlformats.org/officeDocument/2006/relationships/hyperlink" Target="https://www.diodes.com/assets/Datasheets/DMN3732UVTQ.pdf" TargetMode="External"/><Relationship Id="rId_hyperlink_1187" Type="http://schemas.openxmlformats.org/officeDocument/2006/relationships/hyperlink" Target="https://www.diodes.com/part/view/DMN38M1SCA10" TargetMode="External"/><Relationship Id="rId_hyperlink_1188" Type="http://schemas.openxmlformats.org/officeDocument/2006/relationships/hyperlink" Target="https://www.diodes.com/assets/Datasheets/DMN38M1SCA10.pdf" TargetMode="External"/><Relationship Id="rId_hyperlink_1189" Type="http://schemas.openxmlformats.org/officeDocument/2006/relationships/hyperlink" Target="https://www.diodes.com/part/view/DMN3900UFA" TargetMode="External"/><Relationship Id="rId_hyperlink_1190" Type="http://schemas.openxmlformats.org/officeDocument/2006/relationships/hyperlink" Target="https://www.diodes.com/assets/Datasheets/DMN3900UFA.pdf" TargetMode="External"/><Relationship Id="rId_hyperlink_1191" Type="http://schemas.openxmlformats.org/officeDocument/2006/relationships/hyperlink" Target="https://www.diodes.com/part/view/DMN39M1LFVW" TargetMode="External"/><Relationship Id="rId_hyperlink_1192" Type="http://schemas.openxmlformats.org/officeDocument/2006/relationships/hyperlink" Target="https://www.diodes.com/assets/Datasheets/DMN39M1LFVW.pdf" TargetMode="External"/><Relationship Id="rId_hyperlink_1193" Type="http://schemas.openxmlformats.org/officeDocument/2006/relationships/hyperlink" Target="https://www.diodes.com/part/view/DMN39M1LFVWQ" TargetMode="External"/><Relationship Id="rId_hyperlink_1194" Type="http://schemas.openxmlformats.org/officeDocument/2006/relationships/hyperlink" Target="https://www.diodes.com/assets/Datasheets/DMN39M1LFVWQ.pdf" TargetMode="External"/><Relationship Id="rId_hyperlink_1195" Type="http://schemas.openxmlformats.org/officeDocument/2006/relationships/hyperlink" Target="https://www.diodes.com/part/view/DMN39M1LK3" TargetMode="External"/><Relationship Id="rId_hyperlink_1196" Type="http://schemas.openxmlformats.org/officeDocument/2006/relationships/hyperlink" Target="https://www.diodes.com/assets/Datasheets/DMN39M1LK3.pdf" TargetMode="External"/><Relationship Id="rId_hyperlink_1197" Type="http://schemas.openxmlformats.org/officeDocument/2006/relationships/hyperlink" Target="https://www.diodes.com/part/view/DMN39M1LSS" TargetMode="External"/><Relationship Id="rId_hyperlink_1198" Type="http://schemas.openxmlformats.org/officeDocument/2006/relationships/hyperlink" Target="https://www.diodes.com/assets/Datasheets/DMN39M1LSS.pdf" TargetMode="External"/><Relationship Id="rId_hyperlink_1199" Type="http://schemas.openxmlformats.org/officeDocument/2006/relationships/hyperlink" Target="https://www.diodes.com/part/view/DMN39M1LSSQ" TargetMode="External"/><Relationship Id="rId_hyperlink_1200" Type="http://schemas.openxmlformats.org/officeDocument/2006/relationships/hyperlink" Target="https://www.diodes.com/assets/Datasheets/DMN39M1LSSQ.pdf" TargetMode="External"/><Relationship Id="rId_hyperlink_1201" Type="http://schemas.openxmlformats.org/officeDocument/2006/relationships/hyperlink" Target="https://www.diodes.com/part/view/DMN4008LFG" TargetMode="External"/><Relationship Id="rId_hyperlink_1202" Type="http://schemas.openxmlformats.org/officeDocument/2006/relationships/hyperlink" Target="https://www.diodes.com/assets/Datasheets/DMN4008LFG.pdf" TargetMode="External"/><Relationship Id="rId_hyperlink_1203" Type="http://schemas.openxmlformats.org/officeDocument/2006/relationships/hyperlink" Target="https://www.diodes.com/part/view/DMN4010LFG" TargetMode="External"/><Relationship Id="rId_hyperlink_1204" Type="http://schemas.openxmlformats.org/officeDocument/2006/relationships/hyperlink" Target="https://www.diodes.com/assets/Datasheets/DMN4010LFG.pdf" TargetMode="External"/><Relationship Id="rId_hyperlink_1205" Type="http://schemas.openxmlformats.org/officeDocument/2006/relationships/hyperlink" Target="https://www.diodes.com/part/view/DMN4010LK3" TargetMode="External"/><Relationship Id="rId_hyperlink_1206" Type="http://schemas.openxmlformats.org/officeDocument/2006/relationships/hyperlink" Target="https://www.diodes.com/assets/Datasheets/DMN4010LK3.pdf" TargetMode="External"/><Relationship Id="rId_hyperlink_1207" Type="http://schemas.openxmlformats.org/officeDocument/2006/relationships/hyperlink" Target="https://www.diodes.com/part/view/DMN4020LFDE" TargetMode="External"/><Relationship Id="rId_hyperlink_1208" Type="http://schemas.openxmlformats.org/officeDocument/2006/relationships/hyperlink" Target="https://www.diodes.com/assets/Datasheets/DMN4020LFDE.pdf" TargetMode="External"/><Relationship Id="rId_hyperlink_1209" Type="http://schemas.openxmlformats.org/officeDocument/2006/relationships/hyperlink" Target="https://www.diodes.com/part/view/DMN4020LFDEQ" TargetMode="External"/><Relationship Id="rId_hyperlink_1210" Type="http://schemas.openxmlformats.org/officeDocument/2006/relationships/hyperlink" Target="https://www.diodes.com/assets/Datasheets/DMN4020LFDEQ.pdf" TargetMode="External"/><Relationship Id="rId_hyperlink_1211" Type="http://schemas.openxmlformats.org/officeDocument/2006/relationships/hyperlink" Target="https://www.diodes.com/part/view/DMN4026SK3" TargetMode="External"/><Relationship Id="rId_hyperlink_1212" Type="http://schemas.openxmlformats.org/officeDocument/2006/relationships/hyperlink" Target="https://www.diodes.com/assets/Datasheets/DMN4026SK3.pdf" TargetMode="External"/><Relationship Id="rId_hyperlink_1213" Type="http://schemas.openxmlformats.org/officeDocument/2006/relationships/hyperlink" Target="https://www.diodes.com/part/view/DMN4026SSD" TargetMode="External"/><Relationship Id="rId_hyperlink_1214" Type="http://schemas.openxmlformats.org/officeDocument/2006/relationships/hyperlink" Target="https://www.diodes.com/assets/Datasheets/DMN4026SSD.pdf" TargetMode="External"/><Relationship Id="rId_hyperlink_1215" Type="http://schemas.openxmlformats.org/officeDocument/2006/relationships/hyperlink" Target="https://www.diodes.com/part/view/DMN4027SSD" TargetMode="External"/><Relationship Id="rId_hyperlink_1216" Type="http://schemas.openxmlformats.org/officeDocument/2006/relationships/hyperlink" Target="https://www.diodes.com/assets/Datasheets/DMN4027SSD.pdf" TargetMode="External"/><Relationship Id="rId_hyperlink_1217" Type="http://schemas.openxmlformats.org/officeDocument/2006/relationships/hyperlink" Target="https://www.diodes.com/part/view/DMN4030LK3" TargetMode="External"/><Relationship Id="rId_hyperlink_1218" Type="http://schemas.openxmlformats.org/officeDocument/2006/relationships/hyperlink" Target="https://www.diodes.com/assets/Datasheets/DMN4030LK3.pdf" TargetMode="External"/><Relationship Id="rId_hyperlink_1219" Type="http://schemas.openxmlformats.org/officeDocument/2006/relationships/hyperlink" Target="https://www.diodes.com/part/view/DMN4030LK3Q" TargetMode="External"/><Relationship Id="rId_hyperlink_1220" Type="http://schemas.openxmlformats.org/officeDocument/2006/relationships/hyperlink" Target="https://www.diodes.com/assets/Datasheets/DMN4030LK3Q.pdf" TargetMode="External"/><Relationship Id="rId_hyperlink_1221" Type="http://schemas.openxmlformats.org/officeDocument/2006/relationships/hyperlink" Target="https://www.diodes.com/part/view/DMN4031SSDQ" TargetMode="External"/><Relationship Id="rId_hyperlink_1222" Type="http://schemas.openxmlformats.org/officeDocument/2006/relationships/hyperlink" Target="https://www.diodes.com/assets/Datasheets/products_inactive_data/DMN4031SSDQ.pdf" TargetMode="External"/><Relationship Id="rId_hyperlink_1223" Type="http://schemas.openxmlformats.org/officeDocument/2006/relationships/hyperlink" Target="https://www.diodes.com/part/view/DMN4034SSD" TargetMode="External"/><Relationship Id="rId_hyperlink_1224" Type="http://schemas.openxmlformats.org/officeDocument/2006/relationships/hyperlink" Target="https://www.diodes.com/assets/Datasheets/DMN4034SSD.pdf" TargetMode="External"/><Relationship Id="rId_hyperlink_1225" Type="http://schemas.openxmlformats.org/officeDocument/2006/relationships/hyperlink" Target="https://www.diodes.com/part/view/DMN4034SSS" TargetMode="External"/><Relationship Id="rId_hyperlink_1226" Type="http://schemas.openxmlformats.org/officeDocument/2006/relationships/hyperlink" Target="https://www.diodes.com/assets/Datasheets/DMN4034SSS.pdf" TargetMode="External"/><Relationship Id="rId_hyperlink_1227" Type="http://schemas.openxmlformats.org/officeDocument/2006/relationships/hyperlink" Target="https://www.diodes.com/part/view/DMN4034SSSQ" TargetMode="External"/><Relationship Id="rId_hyperlink_1228" Type="http://schemas.openxmlformats.org/officeDocument/2006/relationships/hyperlink" Target="https://www.diodes.com/assets/Datasheets/DMN4034SSSQ.pdf" TargetMode="External"/><Relationship Id="rId_hyperlink_1229" Type="http://schemas.openxmlformats.org/officeDocument/2006/relationships/hyperlink" Target="https://www.diodes.com/part/view/DMN4035L" TargetMode="External"/><Relationship Id="rId_hyperlink_1230" Type="http://schemas.openxmlformats.org/officeDocument/2006/relationships/hyperlink" Target="https://www.diodes.com/assets/Datasheets/DMN4035L.pdf" TargetMode="External"/><Relationship Id="rId_hyperlink_1231" Type="http://schemas.openxmlformats.org/officeDocument/2006/relationships/hyperlink" Target="https://www.diodes.com/part/view/DMN4035LQ" TargetMode="External"/><Relationship Id="rId_hyperlink_1232" Type="http://schemas.openxmlformats.org/officeDocument/2006/relationships/hyperlink" Target="https://www.diodes.com/assets/Datasheets/DMN4035LQ.pdf" TargetMode="External"/><Relationship Id="rId_hyperlink_1233" Type="http://schemas.openxmlformats.org/officeDocument/2006/relationships/hyperlink" Target="https://www.diodes.com/part/view/DMN4036LK3" TargetMode="External"/><Relationship Id="rId_hyperlink_1234" Type="http://schemas.openxmlformats.org/officeDocument/2006/relationships/hyperlink" Target="https://www.diodes.com/assets/Datasheets/DMN4036LK3.pdf" TargetMode="External"/><Relationship Id="rId_hyperlink_1235" Type="http://schemas.openxmlformats.org/officeDocument/2006/relationships/hyperlink" Target="https://www.diodes.com/part/view/DMN4060SVT" TargetMode="External"/><Relationship Id="rId_hyperlink_1236" Type="http://schemas.openxmlformats.org/officeDocument/2006/relationships/hyperlink" Target="https://www.diodes.com/assets/Datasheets/DMN4060SVT.pdf" TargetMode="External"/><Relationship Id="rId_hyperlink_1237" Type="http://schemas.openxmlformats.org/officeDocument/2006/relationships/hyperlink" Target="https://www.diodes.com/part/view/DMN4060SVTQ" TargetMode="External"/><Relationship Id="rId_hyperlink_1238" Type="http://schemas.openxmlformats.org/officeDocument/2006/relationships/hyperlink" Target="https://www.diodes.com/assets/Datasheets/DMN4060SVTQ-.pdf" TargetMode="External"/><Relationship Id="rId_hyperlink_1239" Type="http://schemas.openxmlformats.org/officeDocument/2006/relationships/hyperlink" Target="https://www.diodes.com/part/view/DMN4468LSS" TargetMode="External"/><Relationship Id="rId_hyperlink_1240" Type="http://schemas.openxmlformats.org/officeDocument/2006/relationships/hyperlink" Target="https://www.diodes.com/assets/Datasheets/ds31773.pdf" TargetMode="External"/><Relationship Id="rId_hyperlink_1241" Type="http://schemas.openxmlformats.org/officeDocument/2006/relationships/hyperlink" Target="https://www.diodes.com/part/view/DMN4800LSS" TargetMode="External"/><Relationship Id="rId_hyperlink_1242" Type="http://schemas.openxmlformats.org/officeDocument/2006/relationships/hyperlink" Target="https://www.diodes.com/assets/Datasheets/ds31736.pdf" TargetMode="External"/><Relationship Id="rId_hyperlink_1243" Type="http://schemas.openxmlformats.org/officeDocument/2006/relationships/hyperlink" Target="https://www.diodes.com/part/view/DMN4800LSSL" TargetMode="External"/><Relationship Id="rId_hyperlink_1244" Type="http://schemas.openxmlformats.org/officeDocument/2006/relationships/hyperlink" Target="https://www.diodes.com/assets/Datasheets/DMN4800LSSL.pdf" TargetMode="External"/><Relationship Id="rId_hyperlink_1245" Type="http://schemas.openxmlformats.org/officeDocument/2006/relationships/hyperlink" Target="https://www.diodes.com/part/view/DMN4800LSSQ" TargetMode="External"/><Relationship Id="rId_hyperlink_1246" Type="http://schemas.openxmlformats.org/officeDocument/2006/relationships/hyperlink" Target="https://www.diodes.com/assets/Datasheets/DMN4800LSSQ.pdf" TargetMode="External"/><Relationship Id="rId_hyperlink_1247" Type="http://schemas.openxmlformats.org/officeDocument/2006/relationships/hyperlink" Target="https://www.diodes.com/part/view/DMN5040LSS" TargetMode="External"/><Relationship Id="rId_hyperlink_1248" Type="http://schemas.openxmlformats.org/officeDocument/2006/relationships/hyperlink" Target="https://www.diodes.com/assets/Datasheets/DMN5040LSS.pdf" TargetMode="External"/><Relationship Id="rId_hyperlink_1249" Type="http://schemas.openxmlformats.org/officeDocument/2006/relationships/hyperlink" Target="https://www.diodes.com/part/view/DMN52D0LT" TargetMode="External"/><Relationship Id="rId_hyperlink_1250" Type="http://schemas.openxmlformats.org/officeDocument/2006/relationships/hyperlink" Target="https://www.diodes.com/assets/Datasheets/DMN52D0LT.pdf" TargetMode="External"/><Relationship Id="rId_hyperlink_1251" Type="http://schemas.openxmlformats.org/officeDocument/2006/relationships/hyperlink" Target="https://www.diodes.com/part/view/DMN52D0U" TargetMode="External"/><Relationship Id="rId_hyperlink_1252" Type="http://schemas.openxmlformats.org/officeDocument/2006/relationships/hyperlink" Target="https://www.diodes.com/assets/Datasheets/DMN52D0U.pdf" TargetMode="External"/><Relationship Id="rId_hyperlink_1253" Type="http://schemas.openxmlformats.org/officeDocument/2006/relationships/hyperlink" Target="https://www.diodes.com/part/view/DMN52D0UDM" TargetMode="External"/><Relationship Id="rId_hyperlink_1254" Type="http://schemas.openxmlformats.org/officeDocument/2006/relationships/hyperlink" Target="https://www.diodes.com/assets/Datasheets/DMN52D0UDM.pdf" TargetMode="External"/><Relationship Id="rId_hyperlink_1255" Type="http://schemas.openxmlformats.org/officeDocument/2006/relationships/hyperlink" Target="https://www.diodes.com/part/view/DMN52D0UDMQ" TargetMode="External"/><Relationship Id="rId_hyperlink_1256" Type="http://schemas.openxmlformats.org/officeDocument/2006/relationships/hyperlink" Target="https://www.diodes.com/assets/Datasheets/DMN52D0UDMQ.pdf" TargetMode="External"/><Relationship Id="rId_hyperlink_1257" Type="http://schemas.openxmlformats.org/officeDocument/2006/relationships/hyperlink" Target="https://www.diodes.com/part/view/DMN52D0UDW" TargetMode="External"/><Relationship Id="rId_hyperlink_1258" Type="http://schemas.openxmlformats.org/officeDocument/2006/relationships/hyperlink" Target="https://www.diodes.com/assets/Datasheets/DMN52D0UDW.pdf" TargetMode="External"/><Relationship Id="rId_hyperlink_1259" Type="http://schemas.openxmlformats.org/officeDocument/2006/relationships/hyperlink" Target="https://www.diodes.com/part/view/DMN52D0UDWQ" TargetMode="External"/><Relationship Id="rId_hyperlink_1260" Type="http://schemas.openxmlformats.org/officeDocument/2006/relationships/hyperlink" Target="https://www.diodes.com/assets/Datasheets/DMN52D0UDWQ.pdf" TargetMode="External"/><Relationship Id="rId_hyperlink_1261" Type="http://schemas.openxmlformats.org/officeDocument/2006/relationships/hyperlink" Target="https://www.diodes.com/part/view/DMN52D0UQ" TargetMode="External"/><Relationship Id="rId_hyperlink_1262" Type="http://schemas.openxmlformats.org/officeDocument/2006/relationships/hyperlink" Target="https://www.diodes.com/assets/Datasheets/DMN52D0UQ.pdf" TargetMode="External"/><Relationship Id="rId_hyperlink_1263" Type="http://schemas.openxmlformats.org/officeDocument/2006/relationships/hyperlink" Target="https://www.diodes.com/part/view/DMN52D0UV" TargetMode="External"/><Relationship Id="rId_hyperlink_1264" Type="http://schemas.openxmlformats.org/officeDocument/2006/relationships/hyperlink" Target="https://www.diodes.com/assets/Datasheets/DMN52D0UV.pdf" TargetMode="External"/><Relationship Id="rId_hyperlink_1265" Type="http://schemas.openxmlformats.org/officeDocument/2006/relationships/hyperlink" Target="https://www.diodes.com/part/view/DMN52D0UVA" TargetMode="External"/><Relationship Id="rId_hyperlink_1266" Type="http://schemas.openxmlformats.org/officeDocument/2006/relationships/hyperlink" Target="https://www.diodes.com/assets/Datasheets/DMN52D0UVA.pdf" TargetMode="External"/><Relationship Id="rId_hyperlink_1267" Type="http://schemas.openxmlformats.org/officeDocument/2006/relationships/hyperlink" Target="https://www.diodes.com/part/view/DMN52D0UVQ" TargetMode="External"/><Relationship Id="rId_hyperlink_1268" Type="http://schemas.openxmlformats.org/officeDocument/2006/relationships/hyperlink" Target="https://www.diodes.com/assets/Datasheets/DMN52D0UVQ.pdf" TargetMode="External"/><Relationship Id="rId_hyperlink_1269" Type="http://schemas.openxmlformats.org/officeDocument/2006/relationships/hyperlink" Target="https://www.diodes.com/part/view/DMN52D0UVT" TargetMode="External"/><Relationship Id="rId_hyperlink_1270" Type="http://schemas.openxmlformats.org/officeDocument/2006/relationships/hyperlink" Target="https://www.diodes.com/assets/Datasheets/DMN52D0UVT.pdf" TargetMode="External"/><Relationship Id="rId_hyperlink_1271" Type="http://schemas.openxmlformats.org/officeDocument/2006/relationships/hyperlink" Target="https://www.diodes.com/part/view/DMN52D0UVTQ" TargetMode="External"/><Relationship Id="rId_hyperlink_1272" Type="http://schemas.openxmlformats.org/officeDocument/2006/relationships/hyperlink" Target="https://www.diodes.com/assets/Datasheets/DMN52D0UVTQ.pdf" TargetMode="External"/><Relationship Id="rId_hyperlink_1273" Type="http://schemas.openxmlformats.org/officeDocument/2006/relationships/hyperlink" Target="https://www.diodes.com/part/view/DMN52D0UW" TargetMode="External"/><Relationship Id="rId_hyperlink_1274" Type="http://schemas.openxmlformats.org/officeDocument/2006/relationships/hyperlink" Target="https://www.diodes.com/assets/Datasheets/DMN52D0UW.pdf" TargetMode="External"/><Relationship Id="rId_hyperlink_1275" Type="http://schemas.openxmlformats.org/officeDocument/2006/relationships/hyperlink" Target="https://www.diodes.com/part/view/DMN52D0UWQ" TargetMode="External"/><Relationship Id="rId_hyperlink_1276" Type="http://schemas.openxmlformats.org/officeDocument/2006/relationships/hyperlink" Target="https://www.diodes.com/assets/Datasheets/DMN52D0UWQ.pdf" TargetMode="External"/><Relationship Id="rId_hyperlink_1277" Type="http://schemas.openxmlformats.org/officeDocument/2006/relationships/hyperlink" Target="https://www.diodes.com/part/view/DMN53D0L" TargetMode="External"/><Relationship Id="rId_hyperlink_1278" Type="http://schemas.openxmlformats.org/officeDocument/2006/relationships/hyperlink" Target="https://www.diodes.com/assets/Datasheets/DMN53D0L.pdf" TargetMode="External"/><Relationship Id="rId_hyperlink_1279" Type="http://schemas.openxmlformats.org/officeDocument/2006/relationships/hyperlink" Target="https://www.diodes.com/part/view/DMN53D0LDW" TargetMode="External"/><Relationship Id="rId_hyperlink_1280" Type="http://schemas.openxmlformats.org/officeDocument/2006/relationships/hyperlink" Target="https://www.diodes.com/assets/Datasheets/DMN53D0LDW.pdf" TargetMode="External"/><Relationship Id="rId_hyperlink_1281" Type="http://schemas.openxmlformats.org/officeDocument/2006/relationships/hyperlink" Target="https://www.diodes.com/part/view/DMN53D0LDWQ" TargetMode="External"/><Relationship Id="rId_hyperlink_1282" Type="http://schemas.openxmlformats.org/officeDocument/2006/relationships/hyperlink" Target="https://www.diodes.com/assets/Datasheets/DMN53D0LDWQ.pdf" TargetMode="External"/><Relationship Id="rId_hyperlink_1283" Type="http://schemas.openxmlformats.org/officeDocument/2006/relationships/hyperlink" Target="https://www.diodes.com/part/view/DMN53D0LQ" TargetMode="External"/><Relationship Id="rId_hyperlink_1284" Type="http://schemas.openxmlformats.org/officeDocument/2006/relationships/hyperlink" Target="https://www.diodes.com/assets/Datasheets/DMN53D0LQ.pdf" TargetMode="External"/><Relationship Id="rId_hyperlink_1285" Type="http://schemas.openxmlformats.org/officeDocument/2006/relationships/hyperlink" Target="https://www.diodes.com/part/view/DMN53D0LT" TargetMode="External"/><Relationship Id="rId_hyperlink_1286" Type="http://schemas.openxmlformats.org/officeDocument/2006/relationships/hyperlink" Target="https://www.diodes.com/assets/Datasheets/DMN53D0LT.pdf" TargetMode="External"/><Relationship Id="rId_hyperlink_1287" Type="http://schemas.openxmlformats.org/officeDocument/2006/relationships/hyperlink" Target="https://www.diodes.com/part/view/DMN53D0LTQ" TargetMode="External"/><Relationship Id="rId_hyperlink_1288" Type="http://schemas.openxmlformats.org/officeDocument/2006/relationships/hyperlink" Target="https://www.diodes.com/assets/Datasheets/DMN53D0LTQ.pdf" TargetMode="External"/><Relationship Id="rId_hyperlink_1289" Type="http://schemas.openxmlformats.org/officeDocument/2006/relationships/hyperlink" Target="https://www.diodes.com/part/view/DMN53D0LV" TargetMode="External"/><Relationship Id="rId_hyperlink_1290" Type="http://schemas.openxmlformats.org/officeDocument/2006/relationships/hyperlink" Target="https://www.diodes.com/assets/Datasheets/DMN53D0LV.pdf" TargetMode="External"/><Relationship Id="rId_hyperlink_1291" Type="http://schemas.openxmlformats.org/officeDocument/2006/relationships/hyperlink" Target="https://www.diodes.com/part/view/DMN53D0LW" TargetMode="External"/><Relationship Id="rId_hyperlink_1292" Type="http://schemas.openxmlformats.org/officeDocument/2006/relationships/hyperlink" Target="https://www.diodes.com/assets/Datasheets/DMN53D0LW.pdf" TargetMode="External"/><Relationship Id="rId_hyperlink_1293" Type="http://schemas.openxmlformats.org/officeDocument/2006/relationships/hyperlink" Target="https://www.diodes.com/part/view/DMN53D0U" TargetMode="External"/><Relationship Id="rId_hyperlink_1294" Type="http://schemas.openxmlformats.org/officeDocument/2006/relationships/hyperlink" Target="https://www.diodes.com/assets/Datasheets/DMN53D0U.pdf" TargetMode="External"/><Relationship Id="rId_hyperlink_1295" Type="http://schemas.openxmlformats.org/officeDocument/2006/relationships/hyperlink" Target="https://www.diodes.com/part/view/DMN6010SCTB" TargetMode="External"/><Relationship Id="rId_hyperlink_1296" Type="http://schemas.openxmlformats.org/officeDocument/2006/relationships/hyperlink" Target="https://www.diodes.com/assets/Datasheets/DMN6010SCTB.pdf" TargetMode="External"/><Relationship Id="rId_hyperlink_1297" Type="http://schemas.openxmlformats.org/officeDocument/2006/relationships/hyperlink" Target="https://www.diodes.com/part/view/DMN6010SCTBQ" TargetMode="External"/><Relationship Id="rId_hyperlink_1298" Type="http://schemas.openxmlformats.org/officeDocument/2006/relationships/hyperlink" Target="https://www.diodes.com/assets/Datasheets/DMN6010SCTBQ.pdf" TargetMode="External"/><Relationship Id="rId_hyperlink_1299" Type="http://schemas.openxmlformats.org/officeDocument/2006/relationships/hyperlink" Target="https://www.diodes.com/part/view/DMN6013LFG" TargetMode="External"/><Relationship Id="rId_hyperlink_1300" Type="http://schemas.openxmlformats.org/officeDocument/2006/relationships/hyperlink" Target="https://www.diodes.com/assets/Datasheets/DMN6013LFG.pdf" TargetMode="External"/><Relationship Id="rId_hyperlink_1301" Type="http://schemas.openxmlformats.org/officeDocument/2006/relationships/hyperlink" Target="https://www.diodes.com/part/view/DMN6013LFGQ" TargetMode="External"/><Relationship Id="rId_hyperlink_1302" Type="http://schemas.openxmlformats.org/officeDocument/2006/relationships/hyperlink" Target="https://www.diodes.com/assets/Datasheets/DMN6013LFGQ.pdf" TargetMode="External"/><Relationship Id="rId_hyperlink_1303" Type="http://schemas.openxmlformats.org/officeDocument/2006/relationships/hyperlink" Target="https://www.diodes.com/part/view/DMN6017SFV" TargetMode="External"/><Relationship Id="rId_hyperlink_1304" Type="http://schemas.openxmlformats.org/officeDocument/2006/relationships/hyperlink" Target="https://www.diodes.com/assets/Datasheets/DMN6017SFV.pdf" TargetMode="External"/><Relationship Id="rId_hyperlink_1305" Type="http://schemas.openxmlformats.org/officeDocument/2006/relationships/hyperlink" Target="https://www.diodes.com/part/view/DMN6017SK3" TargetMode="External"/><Relationship Id="rId_hyperlink_1306" Type="http://schemas.openxmlformats.org/officeDocument/2006/relationships/hyperlink" Target="https://www.diodes.com/assets/Datasheets/DMN6017SK3.pdf" TargetMode="External"/><Relationship Id="rId_hyperlink_1307" Type="http://schemas.openxmlformats.org/officeDocument/2006/relationships/hyperlink" Target="https://www.diodes.com/part/view/DMN601DMK" TargetMode="External"/><Relationship Id="rId_hyperlink_1308" Type="http://schemas.openxmlformats.org/officeDocument/2006/relationships/hyperlink" Target="https://www.diodes.com/assets/Datasheets/ds30657.pdf" TargetMode="External"/><Relationship Id="rId_hyperlink_1309" Type="http://schemas.openxmlformats.org/officeDocument/2006/relationships/hyperlink" Target="https://www.diodes.com/part/view/DMN601DWK" TargetMode="External"/><Relationship Id="rId_hyperlink_1310" Type="http://schemas.openxmlformats.org/officeDocument/2006/relationships/hyperlink" Target="https://www.diodes.com/assets/Datasheets/DMN601DWK.pdf" TargetMode="External"/><Relationship Id="rId_hyperlink_1311" Type="http://schemas.openxmlformats.org/officeDocument/2006/relationships/hyperlink" Target="https://www.diodes.com/part/view/DMN601DWKQ" TargetMode="External"/><Relationship Id="rId_hyperlink_1312" Type="http://schemas.openxmlformats.org/officeDocument/2006/relationships/hyperlink" Target="https://www.diodes.com/assets/Datasheets/DMN601DWKQ.pdf" TargetMode="External"/><Relationship Id="rId_hyperlink_1313" Type="http://schemas.openxmlformats.org/officeDocument/2006/relationships/hyperlink" Target="https://www.diodes.com/part/view/DMN601K" TargetMode="External"/><Relationship Id="rId_hyperlink_1314" Type="http://schemas.openxmlformats.org/officeDocument/2006/relationships/hyperlink" Target="https://www.diodes.com/assets/Datasheets/DMN601K.pdf" TargetMode="External"/><Relationship Id="rId_hyperlink_1315" Type="http://schemas.openxmlformats.org/officeDocument/2006/relationships/hyperlink" Target="https://www.diodes.com/part/view/DMN601LT" TargetMode="External"/><Relationship Id="rId_hyperlink_1316" Type="http://schemas.openxmlformats.org/officeDocument/2006/relationships/hyperlink" Target="https://www.diodes.com/assets/Datasheets/DMN601LT.pdf" TargetMode="External"/><Relationship Id="rId_hyperlink_1317" Type="http://schemas.openxmlformats.org/officeDocument/2006/relationships/hyperlink" Target="https://www.diodes.com/part/view/DMN601LTQ" TargetMode="External"/><Relationship Id="rId_hyperlink_1318" Type="http://schemas.openxmlformats.org/officeDocument/2006/relationships/hyperlink" Target="https://www.diodes.com/assets/Datasheets/DMN601LTQ.pdf" TargetMode="External"/><Relationship Id="rId_hyperlink_1319" Type="http://schemas.openxmlformats.org/officeDocument/2006/relationships/hyperlink" Target="https://www.diodes.com/part/view/DMN601TK" TargetMode="External"/><Relationship Id="rId_hyperlink_1320" Type="http://schemas.openxmlformats.org/officeDocument/2006/relationships/hyperlink" Target="https://www.diodes.com/assets/Datasheets/DMN601TK.pdf" TargetMode="External"/><Relationship Id="rId_hyperlink_1321" Type="http://schemas.openxmlformats.org/officeDocument/2006/relationships/hyperlink" Target="https://www.diodes.com/part/view/DMN601TKQ" TargetMode="External"/><Relationship Id="rId_hyperlink_1322" Type="http://schemas.openxmlformats.org/officeDocument/2006/relationships/hyperlink" Target="https://www.diodes.com/assets/Datasheets/DMN601TKQ.pdf" TargetMode="External"/><Relationship Id="rId_hyperlink_1323" Type="http://schemas.openxmlformats.org/officeDocument/2006/relationships/hyperlink" Target="https://www.diodes.com/part/view/DMN601VKQ" TargetMode="External"/><Relationship Id="rId_hyperlink_1324" Type="http://schemas.openxmlformats.org/officeDocument/2006/relationships/hyperlink" Target="https://www.diodes.com/assets/Datasheets/DMN601VKQ.pdf" TargetMode="External"/><Relationship Id="rId_hyperlink_1325" Type="http://schemas.openxmlformats.org/officeDocument/2006/relationships/hyperlink" Target="https://www.diodes.com/part/view/DMN601WK" TargetMode="External"/><Relationship Id="rId_hyperlink_1326" Type="http://schemas.openxmlformats.org/officeDocument/2006/relationships/hyperlink" Target="https://www.diodes.com/assets/Datasheets/DMN601WK.pdf" TargetMode="External"/><Relationship Id="rId_hyperlink_1327" Type="http://schemas.openxmlformats.org/officeDocument/2006/relationships/hyperlink" Target="https://www.diodes.com/part/view/DMN601WKQ" TargetMode="External"/><Relationship Id="rId_hyperlink_1328" Type="http://schemas.openxmlformats.org/officeDocument/2006/relationships/hyperlink" Target="https://www.diodes.com/assets/Datasheets/DMN601WKQ.pdf" TargetMode="External"/><Relationship Id="rId_hyperlink_1329" Type="http://schemas.openxmlformats.org/officeDocument/2006/relationships/hyperlink" Target="https://www.diodes.com/part/view/DMN6022SSD" TargetMode="External"/><Relationship Id="rId_hyperlink_1330" Type="http://schemas.openxmlformats.org/officeDocument/2006/relationships/hyperlink" Target="https://www.diodes.com/assets/Datasheets/DMN6022SSD.pdf" TargetMode="External"/><Relationship Id="rId_hyperlink_1331" Type="http://schemas.openxmlformats.org/officeDocument/2006/relationships/hyperlink" Target="https://www.diodes.com/part/view/DMN6022SSS" TargetMode="External"/><Relationship Id="rId_hyperlink_1332" Type="http://schemas.openxmlformats.org/officeDocument/2006/relationships/hyperlink" Target="https://www.diodes.com/assets/Datasheets/DMN6022SSS.pdf" TargetMode="External"/><Relationship Id="rId_hyperlink_1333" Type="http://schemas.openxmlformats.org/officeDocument/2006/relationships/hyperlink" Target="https://www.diodes.com/part/view/DMN6040SE" TargetMode="External"/><Relationship Id="rId_hyperlink_1334" Type="http://schemas.openxmlformats.org/officeDocument/2006/relationships/hyperlink" Target="https://www.diodes.com/assets/Datasheets/DMN6040SE.pdf" TargetMode="External"/><Relationship Id="rId_hyperlink_1335" Type="http://schemas.openxmlformats.org/officeDocument/2006/relationships/hyperlink" Target="https://www.diodes.com/part/view/DMN6040SFDE" TargetMode="External"/><Relationship Id="rId_hyperlink_1336" Type="http://schemas.openxmlformats.org/officeDocument/2006/relationships/hyperlink" Target="https://www.diodes.com/assets/Datasheets/DMN6040SFDE.pdf" TargetMode="External"/><Relationship Id="rId_hyperlink_1337" Type="http://schemas.openxmlformats.org/officeDocument/2006/relationships/hyperlink" Target="https://www.diodes.com/part/view/DMN6040SFDEQ" TargetMode="External"/><Relationship Id="rId_hyperlink_1338" Type="http://schemas.openxmlformats.org/officeDocument/2006/relationships/hyperlink" Target="https://www.diodes.com/assets/Datasheets/DMN6040SFDEQ.pdf" TargetMode="External"/><Relationship Id="rId_hyperlink_1339" Type="http://schemas.openxmlformats.org/officeDocument/2006/relationships/hyperlink" Target="https://www.diodes.com/part/view/DMN6040SK3" TargetMode="External"/><Relationship Id="rId_hyperlink_1340" Type="http://schemas.openxmlformats.org/officeDocument/2006/relationships/hyperlink" Target="https://www.diodes.com/assets/Datasheets/DMN6040SK3.pdf" TargetMode="External"/><Relationship Id="rId_hyperlink_1341" Type="http://schemas.openxmlformats.org/officeDocument/2006/relationships/hyperlink" Target="https://www.diodes.com/part/view/DMN6040SK3Q" TargetMode="External"/><Relationship Id="rId_hyperlink_1342" Type="http://schemas.openxmlformats.org/officeDocument/2006/relationships/hyperlink" Target="https://www.diodes.com/assets/Datasheets/DMN6040SK3Q.pdf" TargetMode="External"/><Relationship Id="rId_hyperlink_1343" Type="http://schemas.openxmlformats.org/officeDocument/2006/relationships/hyperlink" Target="https://www.diodes.com/part/view/DMN6040SSD" TargetMode="External"/><Relationship Id="rId_hyperlink_1344" Type="http://schemas.openxmlformats.org/officeDocument/2006/relationships/hyperlink" Target="https://www.diodes.com/assets/Datasheets/DMN6040SSD.pdf" TargetMode="External"/><Relationship Id="rId_hyperlink_1345" Type="http://schemas.openxmlformats.org/officeDocument/2006/relationships/hyperlink" Target="https://www.diodes.com/part/view/DMN6040SSDQ" TargetMode="External"/><Relationship Id="rId_hyperlink_1346" Type="http://schemas.openxmlformats.org/officeDocument/2006/relationships/hyperlink" Target="https://www.diodes.com/assets/Datasheets/DMN6040SSDQ.pdf" TargetMode="External"/><Relationship Id="rId_hyperlink_1347" Type="http://schemas.openxmlformats.org/officeDocument/2006/relationships/hyperlink" Target="https://www.diodes.com/part/view/DMN6040SSS" TargetMode="External"/><Relationship Id="rId_hyperlink_1348" Type="http://schemas.openxmlformats.org/officeDocument/2006/relationships/hyperlink" Target="https://www.diodes.com/assets/Datasheets/DMN6040SSS.pdf" TargetMode="External"/><Relationship Id="rId_hyperlink_1349" Type="http://schemas.openxmlformats.org/officeDocument/2006/relationships/hyperlink" Target="https://www.diodes.com/part/view/DMN6040SSSQ" TargetMode="External"/><Relationship Id="rId_hyperlink_1350" Type="http://schemas.openxmlformats.org/officeDocument/2006/relationships/hyperlink" Target="https://www.diodes.com/assets/Datasheets/DMN6040SSSQ.pdf" TargetMode="External"/><Relationship Id="rId_hyperlink_1351" Type="http://schemas.openxmlformats.org/officeDocument/2006/relationships/hyperlink" Target="https://www.diodes.com/part/view/DMN6040SVT" TargetMode="External"/><Relationship Id="rId_hyperlink_1352" Type="http://schemas.openxmlformats.org/officeDocument/2006/relationships/hyperlink" Target="https://www.diodes.com/assets/Datasheets/DMN6040SVT.pdf" TargetMode="External"/><Relationship Id="rId_hyperlink_1353" Type="http://schemas.openxmlformats.org/officeDocument/2006/relationships/hyperlink" Target="https://www.diodes.com/part/view/DMN6040SVTQ" TargetMode="External"/><Relationship Id="rId_hyperlink_1354" Type="http://schemas.openxmlformats.org/officeDocument/2006/relationships/hyperlink" Target="https://www.diodes.com/assets/Datasheets/DMN6040SVTQ.pdf" TargetMode="External"/><Relationship Id="rId_hyperlink_1355" Type="http://schemas.openxmlformats.org/officeDocument/2006/relationships/hyperlink" Target="https://www.diodes.com/part/view/DMN6041SVT" TargetMode="External"/><Relationship Id="rId_hyperlink_1356" Type="http://schemas.openxmlformats.org/officeDocument/2006/relationships/hyperlink" Target="https://www.diodes.com/assets/Datasheets/DMN6041SVT.pdf" TargetMode="External"/><Relationship Id="rId_hyperlink_1357" Type="http://schemas.openxmlformats.org/officeDocument/2006/relationships/hyperlink" Target="https://www.diodes.com/part/view/DMN6041SVTQ" TargetMode="External"/><Relationship Id="rId_hyperlink_1358" Type="http://schemas.openxmlformats.org/officeDocument/2006/relationships/hyperlink" Target="https://www.diodes.com/assets/Datasheets/DMN6041SVTQ.pdf" TargetMode="External"/><Relationship Id="rId_hyperlink_1359" Type="http://schemas.openxmlformats.org/officeDocument/2006/relationships/hyperlink" Target="https://www.diodes.com/part/view/DMN6066SSD" TargetMode="External"/><Relationship Id="rId_hyperlink_1360" Type="http://schemas.openxmlformats.org/officeDocument/2006/relationships/hyperlink" Target="https://www.diodes.com/assets/Datasheets/DMN6066SSD.pdf" TargetMode="External"/><Relationship Id="rId_hyperlink_1361" Type="http://schemas.openxmlformats.org/officeDocument/2006/relationships/hyperlink" Target="https://www.diodes.com/part/view/DMN6066SSS" TargetMode="External"/><Relationship Id="rId_hyperlink_1362" Type="http://schemas.openxmlformats.org/officeDocument/2006/relationships/hyperlink" Target="https://www.diodes.com/assets/Datasheets/DMN6066SSS.pdf" TargetMode="External"/><Relationship Id="rId_hyperlink_1363" Type="http://schemas.openxmlformats.org/officeDocument/2006/relationships/hyperlink" Target="https://www.diodes.com/part/view/DMN6068LK3" TargetMode="External"/><Relationship Id="rId_hyperlink_1364" Type="http://schemas.openxmlformats.org/officeDocument/2006/relationships/hyperlink" Target="https://www.diodes.com/assets/Datasheets/DMN6068LK3.pdf" TargetMode="External"/><Relationship Id="rId_hyperlink_1365" Type="http://schemas.openxmlformats.org/officeDocument/2006/relationships/hyperlink" Target="https://www.diodes.com/part/view/DMN6068LK3Q" TargetMode="External"/><Relationship Id="rId_hyperlink_1366" Type="http://schemas.openxmlformats.org/officeDocument/2006/relationships/hyperlink" Target="https://www.diodes.com/assets/Datasheets/DMN6068LK3Q.pdf" TargetMode="External"/><Relationship Id="rId_hyperlink_1367" Type="http://schemas.openxmlformats.org/officeDocument/2006/relationships/hyperlink" Target="https://www.diodes.com/part/view/DMN6068SE" TargetMode="External"/><Relationship Id="rId_hyperlink_1368" Type="http://schemas.openxmlformats.org/officeDocument/2006/relationships/hyperlink" Target="https://www.diodes.com/assets/Datasheets/DMN6068SE.pdf" TargetMode="External"/><Relationship Id="rId_hyperlink_1369" Type="http://schemas.openxmlformats.org/officeDocument/2006/relationships/hyperlink" Target="https://www.diodes.com/part/view/DMN6068SEQ" TargetMode="External"/><Relationship Id="rId_hyperlink_1370" Type="http://schemas.openxmlformats.org/officeDocument/2006/relationships/hyperlink" Target="https://www.diodes.com/assets/Datasheets/DMN6068SEQ.pdf" TargetMode="External"/><Relationship Id="rId_hyperlink_1371" Type="http://schemas.openxmlformats.org/officeDocument/2006/relationships/hyperlink" Target="https://www.diodes.com/part/view/DMN6069SE" TargetMode="External"/><Relationship Id="rId_hyperlink_1372" Type="http://schemas.openxmlformats.org/officeDocument/2006/relationships/hyperlink" Target="https://www.diodes.com/assets/Datasheets/DMN6069SE.pdf" TargetMode="External"/><Relationship Id="rId_hyperlink_1373" Type="http://schemas.openxmlformats.org/officeDocument/2006/relationships/hyperlink" Target="https://www.diodes.com/part/view/DMN6069SEQ" TargetMode="External"/><Relationship Id="rId_hyperlink_1374" Type="http://schemas.openxmlformats.org/officeDocument/2006/relationships/hyperlink" Target="https://www.diodes.com/assets/Datasheets/DMN6069SEQ.pdf" TargetMode="External"/><Relationship Id="rId_hyperlink_1375" Type="http://schemas.openxmlformats.org/officeDocument/2006/relationships/hyperlink" Target="https://www.diodes.com/part/view/DMN6069SFG" TargetMode="External"/><Relationship Id="rId_hyperlink_1376" Type="http://schemas.openxmlformats.org/officeDocument/2006/relationships/hyperlink" Target="https://www.diodes.com/assets/Datasheets/DMN6069SFG.pdf" TargetMode="External"/><Relationship Id="rId_hyperlink_1377" Type="http://schemas.openxmlformats.org/officeDocument/2006/relationships/hyperlink" Target="https://www.diodes.com/part/view/DMN6069SFGQ" TargetMode="External"/><Relationship Id="rId_hyperlink_1378" Type="http://schemas.openxmlformats.org/officeDocument/2006/relationships/hyperlink" Target="https://www.diodes.com/assets/Datasheets/DMN6069SFGQ.pdf" TargetMode="External"/><Relationship Id="rId_hyperlink_1379" Type="http://schemas.openxmlformats.org/officeDocument/2006/relationships/hyperlink" Target="https://www.diodes.com/part/view/DMN6069SFVW" TargetMode="External"/><Relationship Id="rId_hyperlink_1380" Type="http://schemas.openxmlformats.org/officeDocument/2006/relationships/hyperlink" Target="https://www.diodes.com/assets/Datasheets/DMN6069SFVW.pdf" TargetMode="External"/><Relationship Id="rId_hyperlink_1381" Type="http://schemas.openxmlformats.org/officeDocument/2006/relationships/hyperlink" Target="https://www.diodes.com/part/view/DMN6069SFVWQ" TargetMode="External"/><Relationship Id="rId_hyperlink_1382" Type="http://schemas.openxmlformats.org/officeDocument/2006/relationships/hyperlink" Target="https://www.diodes.com/assets/Datasheets/DMN6069SFVWQ.pdf" TargetMode="External"/><Relationship Id="rId_hyperlink_1383" Type="http://schemas.openxmlformats.org/officeDocument/2006/relationships/hyperlink" Target="https://www.diodes.com/part/view/DMN6070SFCL" TargetMode="External"/><Relationship Id="rId_hyperlink_1384" Type="http://schemas.openxmlformats.org/officeDocument/2006/relationships/hyperlink" Target="https://www.diodes.com/assets/Datasheets/DMN6070SFCL.pdf" TargetMode="External"/><Relationship Id="rId_hyperlink_1385" Type="http://schemas.openxmlformats.org/officeDocument/2006/relationships/hyperlink" Target="https://www.diodes.com/part/view/DMN6070SSD" TargetMode="External"/><Relationship Id="rId_hyperlink_1386" Type="http://schemas.openxmlformats.org/officeDocument/2006/relationships/hyperlink" Target="https://www.diodes.com/assets/Datasheets/DMN6070SSD.pdf" TargetMode="External"/><Relationship Id="rId_hyperlink_1387" Type="http://schemas.openxmlformats.org/officeDocument/2006/relationships/hyperlink" Target="https://www.diodes.com/part/view/DMN6070SSDQ" TargetMode="External"/><Relationship Id="rId_hyperlink_1388" Type="http://schemas.openxmlformats.org/officeDocument/2006/relationships/hyperlink" Target="https://www.diodes.com/assets/Datasheets/DMN6070SSDQ.pdf" TargetMode="External"/><Relationship Id="rId_hyperlink_1389" Type="http://schemas.openxmlformats.org/officeDocument/2006/relationships/hyperlink" Target="https://www.diodes.com/part/view/DMN6070SY" TargetMode="External"/><Relationship Id="rId_hyperlink_1390" Type="http://schemas.openxmlformats.org/officeDocument/2006/relationships/hyperlink" Target="https://www.diodes.com/assets/Datasheets/DMN6070SY.pdf" TargetMode="External"/><Relationship Id="rId_hyperlink_1391" Type="http://schemas.openxmlformats.org/officeDocument/2006/relationships/hyperlink" Target="https://www.diodes.com/part/view/DMN6075S" TargetMode="External"/><Relationship Id="rId_hyperlink_1392" Type="http://schemas.openxmlformats.org/officeDocument/2006/relationships/hyperlink" Target="https://www.diodes.com/assets/Datasheets/DMN6075S.pdf" TargetMode="External"/><Relationship Id="rId_hyperlink_1393" Type="http://schemas.openxmlformats.org/officeDocument/2006/relationships/hyperlink" Target="https://www.diodes.com/part/view/DMN6075SQ" TargetMode="External"/><Relationship Id="rId_hyperlink_1394" Type="http://schemas.openxmlformats.org/officeDocument/2006/relationships/hyperlink" Target="https://www.diodes.com/assets/Datasheets/DMN6075SQ.pdf" TargetMode="External"/><Relationship Id="rId_hyperlink_1395" Type="http://schemas.openxmlformats.org/officeDocument/2006/relationships/hyperlink" Target="https://www.diodes.com/part/view/DMN60H080DS" TargetMode="External"/><Relationship Id="rId_hyperlink_1396" Type="http://schemas.openxmlformats.org/officeDocument/2006/relationships/hyperlink" Target="https://www.diodes.com/assets/Datasheets/DMN60H080DS.pdf" TargetMode="External"/><Relationship Id="rId_hyperlink_1397" Type="http://schemas.openxmlformats.org/officeDocument/2006/relationships/hyperlink" Target="https://www.diodes.com/part/view/DMN6140L" TargetMode="External"/><Relationship Id="rId_hyperlink_1398" Type="http://schemas.openxmlformats.org/officeDocument/2006/relationships/hyperlink" Target="https://www.diodes.com/assets/Datasheets/DMN6140L.pdf" TargetMode="External"/><Relationship Id="rId_hyperlink_1399" Type="http://schemas.openxmlformats.org/officeDocument/2006/relationships/hyperlink" Target="https://www.diodes.com/part/view/DMN6140LQ" TargetMode="External"/><Relationship Id="rId_hyperlink_1400" Type="http://schemas.openxmlformats.org/officeDocument/2006/relationships/hyperlink" Target="https://www.diodes.com/assets/Datasheets/DMN6140LQ.pdf" TargetMode="External"/><Relationship Id="rId_hyperlink_1401" Type="http://schemas.openxmlformats.org/officeDocument/2006/relationships/hyperlink" Target="https://www.diodes.com/part/view/DMN61D8L" TargetMode="External"/><Relationship Id="rId_hyperlink_1402" Type="http://schemas.openxmlformats.org/officeDocument/2006/relationships/hyperlink" Target="https://www.diodes.com/assets/Datasheets/DMN61D8L-LVT.pdf" TargetMode="External"/><Relationship Id="rId_hyperlink_1403" Type="http://schemas.openxmlformats.org/officeDocument/2006/relationships/hyperlink" Target="https://www.diodes.com/part/view/DMN61D8LQ" TargetMode="External"/><Relationship Id="rId_hyperlink_1404" Type="http://schemas.openxmlformats.org/officeDocument/2006/relationships/hyperlink" Target="https://www.diodes.com/assets/Datasheets/DMN61D8LQ.pdf" TargetMode="External"/><Relationship Id="rId_hyperlink_1405" Type="http://schemas.openxmlformats.org/officeDocument/2006/relationships/hyperlink" Target="https://www.diodes.com/part/view/DMN61D8LVT" TargetMode="External"/><Relationship Id="rId_hyperlink_1406" Type="http://schemas.openxmlformats.org/officeDocument/2006/relationships/hyperlink" Target="https://www.diodes.com/assets/Datasheets/DMN61D8L-LVT.pdf" TargetMode="External"/><Relationship Id="rId_hyperlink_1407" Type="http://schemas.openxmlformats.org/officeDocument/2006/relationships/hyperlink" Target="https://www.diodes.com/part/view/DMN61D8LVTQ" TargetMode="External"/><Relationship Id="rId_hyperlink_1408" Type="http://schemas.openxmlformats.org/officeDocument/2006/relationships/hyperlink" Target="https://www.diodes.com/assets/Datasheets/DMN61D8LVTQ.pdf" TargetMode="External"/><Relationship Id="rId_hyperlink_1409" Type="http://schemas.openxmlformats.org/officeDocument/2006/relationships/hyperlink" Target="https://www.diodes.com/part/view/DMN61D9UDWQ" TargetMode="External"/><Relationship Id="rId_hyperlink_1410" Type="http://schemas.openxmlformats.org/officeDocument/2006/relationships/hyperlink" Target="https://www.diodes.com/assets/Datasheets/DMN61D9UDWQ.pdf" TargetMode="External"/><Relationship Id="rId_hyperlink_1411" Type="http://schemas.openxmlformats.org/officeDocument/2006/relationships/hyperlink" Target="https://www.diodes.com/part/view/DMN62D0LFB" TargetMode="External"/><Relationship Id="rId_hyperlink_1412" Type="http://schemas.openxmlformats.org/officeDocument/2006/relationships/hyperlink" Target="https://www.diodes.com/assets/Datasheets/DMN62D0LFB.pdf" TargetMode="External"/><Relationship Id="rId_hyperlink_1413" Type="http://schemas.openxmlformats.org/officeDocument/2006/relationships/hyperlink" Target="https://www.diodes.com/part/view/DMN62D0LFD" TargetMode="External"/><Relationship Id="rId_hyperlink_1414" Type="http://schemas.openxmlformats.org/officeDocument/2006/relationships/hyperlink" Target="https://www.diodes.com/assets/Datasheets/DMN62D0LFD.pdf" TargetMode="External"/><Relationship Id="rId_hyperlink_1415" Type="http://schemas.openxmlformats.org/officeDocument/2006/relationships/hyperlink" Target="https://www.diodes.com/part/view/DMN62D0SFD" TargetMode="External"/><Relationship Id="rId_hyperlink_1416" Type="http://schemas.openxmlformats.org/officeDocument/2006/relationships/hyperlink" Target="https://www.diodes.com/assets/Datasheets/DMN62D0SFD.pdf" TargetMode="External"/><Relationship Id="rId_hyperlink_1417" Type="http://schemas.openxmlformats.org/officeDocument/2006/relationships/hyperlink" Target="https://www.diodes.com/part/view/DMN62D0U" TargetMode="External"/><Relationship Id="rId_hyperlink_1418" Type="http://schemas.openxmlformats.org/officeDocument/2006/relationships/hyperlink" Target="https://www.diodes.com/assets/Datasheets/DMN62D0U.pdf" TargetMode="External"/><Relationship Id="rId_hyperlink_1419" Type="http://schemas.openxmlformats.org/officeDocument/2006/relationships/hyperlink" Target="https://www.diodes.com/part/view/DMN62D0UDW" TargetMode="External"/><Relationship Id="rId_hyperlink_1420" Type="http://schemas.openxmlformats.org/officeDocument/2006/relationships/hyperlink" Target="https://www.diodes.com/assets/Datasheets/DMN62D0UDW.pdf" TargetMode="External"/><Relationship Id="rId_hyperlink_1421" Type="http://schemas.openxmlformats.org/officeDocument/2006/relationships/hyperlink" Target="https://www.diodes.com/part/view/DMN62D0UDWQ" TargetMode="External"/><Relationship Id="rId_hyperlink_1422" Type="http://schemas.openxmlformats.org/officeDocument/2006/relationships/hyperlink" Target="https://www.diodes.com/assets/Datasheets/DMN62D0UDWQ.pdf" TargetMode="External"/><Relationship Id="rId_hyperlink_1423" Type="http://schemas.openxmlformats.org/officeDocument/2006/relationships/hyperlink" Target="https://www.diodes.com/part/view/DMN62D0UT" TargetMode="External"/><Relationship Id="rId_hyperlink_1424" Type="http://schemas.openxmlformats.org/officeDocument/2006/relationships/hyperlink" Target="https://www.diodes.com/assets/Datasheets/DMN62D0UT.pdf" TargetMode="External"/><Relationship Id="rId_hyperlink_1425" Type="http://schemas.openxmlformats.org/officeDocument/2006/relationships/hyperlink" Target="https://www.diodes.com/part/view/DMN62D0UV" TargetMode="External"/><Relationship Id="rId_hyperlink_1426" Type="http://schemas.openxmlformats.org/officeDocument/2006/relationships/hyperlink" Target="https://www.diodes.com/assets/Datasheets/DMN62D0UV.pdf" TargetMode="External"/><Relationship Id="rId_hyperlink_1427" Type="http://schemas.openxmlformats.org/officeDocument/2006/relationships/hyperlink" Target="https://www.diodes.com/part/view/DMN62D1LFB" TargetMode="External"/><Relationship Id="rId_hyperlink_1428" Type="http://schemas.openxmlformats.org/officeDocument/2006/relationships/hyperlink" Target="https://www.diodes.com/assets/Datasheets/DMN62D1LFB.pdf" TargetMode="External"/><Relationship Id="rId_hyperlink_1429" Type="http://schemas.openxmlformats.org/officeDocument/2006/relationships/hyperlink" Target="https://www.diodes.com/part/view/DMN62D1LFD" TargetMode="External"/><Relationship Id="rId_hyperlink_1430" Type="http://schemas.openxmlformats.org/officeDocument/2006/relationships/hyperlink" Target="https://www.diodes.com/assets/Datasheets/DMN62D1LFD.pdf" TargetMode="External"/><Relationship Id="rId_hyperlink_1431" Type="http://schemas.openxmlformats.org/officeDocument/2006/relationships/hyperlink" Target="https://www.diodes.com/part/view/DMN62D1LFDQ" TargetMode="External"/><Relationship Id="rId_hyperlink_1432" Type="http://schemas.openxmlformats.org/officeDocument/2006/relationships/hyperlink" Target="https://www.diodes.com/assets/Datasheets/DMN62D1LFDQ.pdf" TargetMode="External"/><Relationship Id="rId_hyperlink_1433" Type="http://schemas.openxmlformats.org/officeDocument/2006/relationships/hyperlink" Target="https://www.diodes.com/part/view/DMN62D1SFB" TargetMode="External"/><Relationship Id="rId_hyperlink_1434" Type="http://schemas.openxmlformats.org/officeDocument/2006/relationships/hyperlink" Target="https://www.diodes.com/assets/Datasheets/DMN62D1SFB.pdf" TargetMode="External"/><Relationship Id="rId_hyperlink_1435" Type="http://schemas.openxmlformats.org/officeDocument/2006/relationships/hyperlink" Target="https://www.diodes.com/part/view/DMN62D1SFBW" TargetMode="External"/><Relationship Id="rId_hyperlink_1436" Type="http://schemas.openxmlformats.org/officeDocument/2006/relationships/hyperlink" Target="https://www.diodes.com/assets/Datasheets/DMN62D1SFBW.pdf" TargetMode="External"/><Relationship Id="rId_hyperlink_1437" Type="http://schemas.openxmlformats.org/officeDocument/2006/relationships/hyperlink" Target="https://www.diodes.com/part/view/DMN62D1SFBWQ" TargetMode="External"/><Relationship Id="rId_hyperlink_1438" Type="http://schemas.openxmlformats.org/officeDocument/2006/relationships/hyperlink" Target="https://www.diodes.com/assets/Datasheets/DMN62D1SFBWQ.pdf" TargetMode="External"/><Relationship Id="rId_hyperlink_1439" Type="http://schemas.openxmlformats.org/officeDocument/2006/relationships/hyperlink" Target="https://www.diodes.com/part/view/DMN62D2U" TargetMode="External"/><Relationship Id="rId_hyperlink_1440" Type="http://schemas.openxmlformats.org/officeDocument/2006/relationships/hyperlink" Target="https://www.diodes.com/assets/Datasheets/DMN62D2U.pdf" TargetMode="External"/><Relationship Id="rId_hyperlink_1441" Type="http://schemas.openxmlformats.org/officeDocument/2006/relationships/hyperlink" Target="https://www.diodes.com/part/view/DMN62D2UDM" TargetMode="External"/><Relationship Id="rId_hyperlink_1442" Type="http://schemas.openxmlformats.org/officeDocument/2006/relationships/hyperlink" Target="https://www.diodes.com/assets/Datasheets/DMN62D2UDM.pdf" TargetMode="External"/><Relationship Id="rId_hyperlink_1443" Type="http://schemas.openxmlformats.org/officeDocument/2006/relationships/hyperlink" Target="https://www.diodes.com/part/view/DMN62D2UDMQ" TargetMode="External"/><Relationship Id="rId_hyperlink_1444" Type="http://schemas.openxmlformats.org/officeDocument/2006/relationships/hyperlink" Target="https://www.diodes.com/assets/Datasheets/DMN62D2UDMQ.pdf" TargetMode="External"/><Relationship Id="rId_hyperlink_1445" Type="http://schemas.openxmlformats.org/officeDocument/2006/relationships/hyperlink" Target="https://www.diodes.com/part/view/DMN62D2UDW" TargetMode="External"/><Relationship Id="rId_hyperlink_1446" Type="http://schemas.openxmlformats.org/officeDocument/2006/relationships/hyperlink" Target="https://www.diodes.com/assets/Datasheets/DMN62D2UDW.pdf" TargetMode="External"/><Relationship Id="rId_hyperlink_1447" Type="http://schemas.openxmlformats.org/officeDocument/2006/relationships/hyperlink" Target="https://www.diodes.com/part/view/DMN62D2UDWQ" TargetMode="External"/><Relationship Id="rId_hyperlink_1448" Type="http://schemas.openxmlformats.org/officeDocument/2006/relationships/hyperlink" Target="https://www.diodes.com/assets/Datasheets/DMN62D2UDWQ.pdf" TargetMode="External"/><Relationship Id="rId_hyperlink_1449" Type="http://schemas.openxmlformats.org/officeDocument/2006/relationships/hyperlink" Target="https://www.diodes.com/part/view/DMN62D2UQ" TargetMode="External"/><Relationship Id="rId_hyperlink_1450" Type="http://schemas.openxmlformats.org/officeDocument/2006/relationships/hyperlink" Target="https://www.diodes.com/assets/Datasheets/DMN62D2UQ.pdf" TargetMode="External"/><Relationship Id="rId_hyperlink_1451" Type="http://schemas.openxmlformats.org/officeDocument/2006/relationships/hyperlink" Target="https://www.diodes.com/part/view/DMN62D2UT" TargetMode="External"/><Relationship Id="rId_hyperlink_1452" Type="http://schemas.openxmlformats.org/officeDocument/2006/relationships/hyperlink" Target="https://www.diodes.com/assets/Datasheets/DMN62D2UT.pdf" TargetMode="External"/><Relationship Id="rId_hyperlink_1453" Type="http://schemas.openxmlformats.org/officeDocument/2006/relationships/hyperlink" Target="https://www.diodes.com/part/view/DMN62D2UTQ" TargetMode="External"/><Relationship Id="rId_hyperlink_1454" Type="http://schemas.openxmlformats.org/officeDocument/2006/relationships/hyperlink" Target="https://www.diodes.com/assets/Datasheets/DMN62D2UTQ.pdf" TargetMode="External"/><Relationship Id="rId_hyperlink_1455" Type="http://schemas.openxmlformats.org/officeDocument/2006/relationships/hyperlink" Target="https://www.diodes.com/part/view/DMN62D2UV" TargetMode="External"/><Relationship Id="rId_hyperlink_1456" Type="http://schemas.openxmlformats.org/officeDocument/2006/relationships/hyperlink" Target="https://www.diodes.com/assets/Datasheets/DMN62D2UV.pdf" TargetMode="External"/><Relationship Id="rId_hyperlink_1457" Type="http://schemas.openxmlformats.org/officeDocument/2006/relationships/hyperlink" Target="https://www.diodes.com/part/view/DMN62D2UVQ" TargetMode="External"/><Relationship Id="rId_hyperlink_1458" Type="http://schemas.openxmlformats.org/officeDocument/2006/relationships/hyperlink" Target="https://www.diodes.com/assets/Datasheets/DMN62D2UVQ.pdf" TargetMode="External"/><Relationship Id="rId_hyperlink_1459" Type="http://schemas.openxmlformats.org/officeDocument/2006/relationships/hyperlink" Target="https://www.diodes.com/part/view/DMN62D2UVT" TargetMode="External"/><Relationship Id="rId_hyperlink_1460" Type="http://schemas.openxmlformats.org/officeDocument/2006/relationships/hyperlink" Target="https://www.diodes.com/assets/Datasheets/DMN62D2UVT.pdf" TargetMode="External"/><Relationship Id="rId_hyperlink_1461" Type="http://schemas.openxmlformats.org/officeDocument/2006/relationships/hyperlink" Target="https://www.diodes.com/part/view/DMN62D2UVTQ" TargetMode="External"/><Relationship Id="rId_hyperlink_1462" Type="http://schemas.openxmlformats.org/officeDocument/2006/relationships/hyperlink" Target="https://www.diodes.com/assets/Datasheets/DMN62D2UVTQ.pdf" TargetMode="External"/><Relationship Id="rId_hyperlink_1463" Type="http://schemas.openxmlformats.org/officeDocument/2006/relationships/hyperlink" Target="https://www.diodes.com/part/view/DMN62D2UW" TargetMode="External"/><Relationship Id="rId_hyperlink_1464" Type="http://schemas.openxmlformats.org/officeDocument/2006/relationships/hyperlink" Target="https://www.diodes.com/assets/Datasheets/DMN62D2UW.pdf" TargetMode="External"/><Relationship Id="rId_hyperlink_1465" Type="http://schemas.openxmlformats.org/officeDocument/2006/relationships/hyperlink" Target="https://www.diodes.com/part/view/DMN62D2UWQ" TargetMode="External"/><Relationship Id="rId_hyperlink_1466" Type="http://schemas.openxmlformats.org/officeDocument/2006/relationships/hyperlink" Target="https://www.diodes.com/assets/Datasheets/DMN62D2UWQ.pdf" TargetMode="External"/><Relationship Id="rId_hyperlink_1467" Type="http://schemas.openxmlformats.org/officeDocument/2006/relationships/hyperlink" Target="https://www.diodes.com/part/view/DMN62D4LDW" TargetMode="External"/><Relationship Id="rId_hyperlink_1468" Type="http://schemas.openxmlformats.org/officeDocument/2006/relationships/hyperlink" Target="https://www.diodes.com/assets/Datasheets/DMN62D4LDW.pdf" TargetMode="External"/><Relationship Id="rId_hyperlink_1469" Type="http://schemas.openxmlformats.org/officeDocument/2006/relationships/hyperlink" Target="https://www.diodes.com/part/view/DMN62D4LFB" TargetMode="External"/><Relationship Id="rId_hyperlink_1470" Type="http://schemas.openxmlformats.org/officeDocument/2006/relationships/hyperlink" Target="https://www.diodes.com/assets/Datasheets/DMN62D4LFB.pdf" TargetMode="External"/><Relationship Id="rId_hyperlink_1471" Type="http://schemas.openxmlformats.org/officeDocument/2006/relationships/hyperlink" Target="https://www.diodes.com/part/view/DMN63D1L" TargetMode="External"/><Relationship Id="rId_hyperlink_1472" Type="http://schemas.openxmlformats.org/officeDocument/2006/relationships/hyperlink" Target="https://www.diodes.com/assets/Datasheets/DMN63D1L.pdf" TargetMode="External"/><Relationship Id="rId_hyperlink_1473" Type="http://schemas.openxmlformats.org/officeDocument/2006/relationships/hyperlink" Target="https://www.diodes.com/part/view/DMN63D1LDW" TargetMode="External"/><Relationship Id="rId_hyperlink_1474" Type="http://schemas.openxmlformats.org/officeDocument/2006/relationships/hyperlink" Target="https://www.diodes.com/assets/Datasheets/DMN63D1LDW.pdf" TargetMode="External"/><Relationship Id="rId_hyperlink_1475" Type="http://schemas.openxmlformats.org/officeDocument/2006/relationships/hyperlink" Target="https://www.diodes.com/part/view/DMN63D1LT" TargetMode="External"/><Relationship Id="rId_hyperlink_1476" Type="http://schemas.openxmlformats.org/officeDocument/2006/relationships/hyperlink" Target="https://www.diodes.com/assets/Datasheets/DMN63D1LT.pdf" TargetMode="External"/><Relationship Id="rId_hyperlink_1477" Type="http://schemas.openxmlformats.org/officeDocument/2006/relationships/hyperlink" Target="https://www.diodes.com/part/view/DMN63D1LV" TargetMode="External"/><Relationship Id="rId_hyperlink_1478" Type="http://schemas.openxmlformats.org/officeDocument/2006/relationships/hyperlink" Target="https://www.diodes.com/assets/Datasheets/DMN63D1LV.pdf" TargetMode="External"/><Relationship Id="rId_hyperlink_1479" Type="http://schemas.openxmlformats.org/officeDocument/2006/relationships/hyperlink" Target="https://www.diodes.com/part/view/DMN63D1LVQ" TargetMode="External"/><Relationship Id="rId_hyperlink_1480" Type="http://schemas.openxmlformats.org/officeDocument/2006/relationships/hyperlink" Target="https://www.diodes.com/assets/Datasheets/DMN63D1LVQ.pdf" TargetMode="External"/><Relationship Id="rId_hyperlink_1481" Type="http://schemas.openxmlformats.org/officeDocument/2006/relationships/hyperlink" Target="https://www.diodes.com/part/view/DMN63D1LW" TargetMode="External"/><Relationship Id="rId_hyperlink_1482" Type="http://schemas.openxmlformats.org/officeDocument/2006/relationships/hyperlink" Target="https://www.diodes.com/assets/Datasheets/DMN63D1LW.pdf" TargetMode="External"/><Relationship Id="rId_hyperlink_1483" Type="http://schemas.openxmlformats.org/officeDocument/2006/relationships/hyperlink" Target="https://www.diodes.com/part/view/DMN63D8L" TargetMode="External"/><Relationship Id="rId_hyperlink_1484" Type="http://schemas.openxmlformats.org/officeDocument/2006/relationships/hyperlink" Target="https://www.diodes.com/assets/Datasheets/DMN63D8L.pdf" TargetMode="External"/><Relationship Id="rId_hyperlink_1485" Type="http://schemas.openxmlformats.org/officeDocument/2006/relationships/hyperlink" Target="https://www.diodes.com/part/view/DMN63D8LDW" TargetMode="External"/><Relationship Id="rId_hyperlink_1486" Type="http://schemas.openxmlformats.org/officeDocument/2006/relationships/hyperlink" Target="https://www.diodes.com/assets/Datasheets/DMN63D8LDW.pdf" TargetMode="External"/><Relationship Id="rId_hyperlink_1487" Type="http://schemas.openxmlformats.org/officeDocument/2006/relationships/hyperlink" Target="https://www.diodes.com/part/view/DMN63D8LV" TargetMode="External"/><Relationship Id="rId_hyperlink_1488" Type="http://schemas.openxmlformats.org/officeDocument/2006/relationships/hyperlink" Target="https://www.diodes.com/assets/Datasheets/DMN63D8LV.pdf" TargetMode="External"/><Relationship Id="rId_hyperlink_1489" Type="http://schemas.openxmlformats.org/officeDocument/2006/relationships/hyperlink" Target="https://www.diodes.com/part/view/DMN63D8LW" TargetMode="External"/><Relationship Id="rId_hyperlink_1490" Type="http://schemas.openxmlformats.org/officeDocument/2006/relationships/hyperlink" Target="https://www.diodes.com/assets/Datasheets/DMN63D8LW.pdf" TargetMode="External"/><Relationship Id="rId_hyperlink_1491" Type="http://schemas.openxmlformats.org/officeDocument/2006/relationships/hyperlink" Target="https://www.diodes.com/part/view/DMN65D7LFR4" TargetMode="External"/><Relationship Id="rId_hyperlink_1492" Type="http://schemas.openxmlformats.org/officeDocument/2006/relationships/hyperlink" Target="https://www.diodes.com/assets/Datasheets/DMN65D7LFR4.pdf" TargetMode="External"/><Relationship Id="rId_hyperlink_1493" Type="http://schemas.openxmlformats.org/officeDocument/2006/relationships/hyperlink" Target="https://www.diodes.com/part/view/DMN65D8L" TargetMode="External"/><Relationship Id="rId_hyperlink_1494" Type="http://schemas.openxmlformats.org/officeDocument/2006/relationships/hyperlink" Target="https://www.diodes.com/assets/Datasheets/DMN65D8L.pdf" TargetMode="External"/><Relationship Id="rId_hyperlink_1495" Type="http://schemas.openxmlformats.org/officeDocument/2006/relationships/hyperlink" Target="https://www.diodes.com/part/view/DMN65D8LDW" TargetMode="External"/><Relationship Id="rId_hyperlink_1496" Type="http://schemas.openxmlformats.org/officeDocument/2006/relationships/hyperlink" Target="https://www.diodes.com/assets/Datasheets/DMN65D8LDW.pdf" TargetMode="External"/><Relationship Id="rId_hyperlink_1497" Type="http://schemas.openxmlformats.org/officeDocument/2006/relationships/hyperlink" Target="https://www.diodes.com/part/view/DMN65D8LDWQ" TargetMode="External"/><Relationship Id="rId_hyperlink_1498" Type="http://schemas.openxmlformats.org/officeDocument/2006/relationships/hyperlink" Target="https://www.diodes.com/assets/Datasheets/DMN65D8LDWQ.pdf" TargetMode="External"/><Relationship Id="rId_hyperlink_1499" Type="http://schemas.openxmlformats.org/officeDocument/2006/relationships/hyperlink" Target="https://www.diodes.com/part/view/DMN65D8LFB" TargetMode="External"/><Relationship Id="rId_hyperlink_1500" Type="http://schemas.openxmlformats.org/officeDocument/2006/relationships/hyperlink" Target="https://www.diodes.com/assets/Datasheets/DMN65D8LFB.pdf" TargetMode="External"/><Relationship Id="rId_hyperlink_1501" Type="http://schemas.openxmlformats.org/officeDocument/2006/relationships/hyperlink" Target="https://www.diodes.com/part/view/DMN65D8LQ" TargetMode="External"/><Relationship Id="rId_hyperlink_1502" Type="http://schemas.openxmlformats.org/officeDocument/2006/relationships/hyperlink" Target="https://www.diodes.com/assets/Datasheets/DMN65D8LQ.pdf" TargetMode="External"/><Relationship Id="rId_hyperlink_1503" Type="http://schemas.openxmlformats.org/officeDocument/2006/relationships/hyperlink" Target="https://www.diodes.com/part/view/DMN65D8LT" TargetMode="External"/><Relationship Id="rId_hyperlink_1504" Type="http://schemas.openxmlformats.org/officeDocument/2006/relationships/hyperlink" Target="https://www.diodes.com/assets/Datasheets/DMN65D8LT.pdf" TargetMode="External"/><Relationship Id="rId_hyperlink_1505" Type="http://schemas.openxmlformats.org/officeDocument/2006/relationships/hyperlink" Target="https://www.diodes.com/part/view/DMN65D8LW" TargetMode="External"/><Relationship Id="rId_hyperlink_1506" Type="http://schemas.openxmlformats.org/officeDocument/2006/relationships/hyperlink" Target="https://www.diodes.com/assets/Datasheets/DMN65D8LW.pdf" TargetMode="External"/><Relationship Id="rId_hyperlink_1507" Type="http://schemas.openxmlformats.org/officeDocument/2006/relationships/hyperlink" Target="https://www.diodes.com/part/view/DMN65D9L" TargetMode="External"/><Relationship Id="rId_hyperlink_1508" Type="http://schemas.openxmlformats.org/officeDocument/2006/relationships/hyperlink" Target="https://www.diodes.com/assets/Datasheets/DMN65D9L.pdf" TargetMode="External"/><Relationship Id="rId_hyperlink_1509" Type="http://schemas.openxmlformats.org/officeDocument/2006/relationships/hyperlink" Target="https://www.diodes.com/part/view/DMN66D0LDW" TargetMode="External"/><Relationship Id="rId_hyperlink_1510" Type="http://schemas.openxmlformats.org/officeDocument/2006/relationships/hyperlink" Target="https://www.diodes.com/assets/Datasheets/DMN66D0LDW.pdf" TargetMode="External"/><Relationship Id="rId_hyperlink_1511" Type="http://schemas.openxmlformats.org/officeDocument/2006/relationships/hyperlink" Target="https://www.diodes.com/part/view/DMN66D0LDWQ" TargetMode="External"/><Relationship Id="rId_hyperlink_1512" Type="http://schemas.openxmlformats.org/officeDocument/2006/relationships/hyperlink" Target="https://www.diodes.com/assets/Datasheets/DMN66D0LDWQ.pdf" TargetMode="External"/><Relationship Id="rId_hyperlink_1513" Type="http://schemas.openxmlformats.org/officeDocument/2006/relationships/hyperlink" Target="https://www.diodes.com/part/view/DMN66D0LT" TargetMode="External"/><Relationship Id="rId_hyperlink_1514" Type="http://schemas.openxmlformats.org/officeDocument/2006/relationships/hyperlink" Target="https://www.diodes.com/assets/Datasheets/DMN66D0LT.pdf" TargetMode="External"/><Relationship Id="rId_hyperlink_1515" Type="http://schemas.openxmlformats.org/officeDocument/2006/relationships/hyperlink" Target="https://www.diodes.com/part/view/DMN67D7L" TargetMode="External"/><Relationship Id="rId_hyperlink_1516" Type="http://schemas.openxmlformats.org/officeDocument/2006/relationships/hyperlink" Target="https://www.diodes.com/assets/Datasheets/DMN67D7L.pdf" TargetMode="External"/><Relationship Id="rId_hyperlink_1517" Type="http://schemas.openxmlformats.org/officeDocument/2006/relationships/hyperlink" Target="https://www.diodes.com/part/view/DMN67D8L" TargetMode="External"/><Relationship Id="rId_hyperlink_1518" Type="http://schemas.openxmlformats.org/officeDocument/2006/relationships/hyperlink" Target="https://www.diodes.com/assets/Datasheets/DMN67D8L.pdf" TargetMode="External"/><Relationship Id="rId_hyperlink_1519" Type="http://schemas.openxmlformats.org/officeDocument/2006/relationships/hyperlink" Target="https://www.diodes.com/part/view/DMN67D8LDW" TargetMode="External"/><Relationship Id="rId_hyperlink_1520" Type="http://schemas.openxmlformats.org/officeDocument/2006/relationships/hyperlink" Target="https://www.diodes.com/assets/Datasheets/DMN67D8LDW.pdf" TargetMode="External"/><Relationship Id="rId_hyperlink_1521" Type="http://schemas.openxmlformats.org/officeDocument/2006/relationships/hyperlink" Target="https://www.diodes.com/part/view/DMN67D8LT" TargetMode="External"/><Relationship Id="rId_hyperlink_1522" Type="http://schemas.openxmlformats.org/officeDocument/2006/relationships/hyperlink" Target="https://www.diodes.com/assets/Datasheets/DMN67D8LT.pdf" TargetMode="External"/><Relationship Id="rId_hyperlink_1523" Type="http://schemas.openxmlformats.org/officeDocument/2006/relationships/hyperlink" Target="https://www.diodes.com/part/view/DMN67D8LW" TargetMode="External"/><Relationship Id="rId_hyperlink_1524" Type="http://schemas.openxmlformats.org/officeDocument/2006/relationships/hyperlink" Target="https://www.diodes.com/assets/Datasheets/DMN67D8LW.pdf" TargetMode="External"/><Relationship Id="rId_hyperlink_1525" Type="http://schemas.openxmlformats.org/officeDocument/2006/relationships/hyperlink" Target="https://www.diodes.com/part/view/DMN68M7SCT" TargetMode="External"/><Relationship Id="rId_hyperlink_1526" Type="http://schemas.openxmlformats.org/officeDocument/2006/relationships/hyperlink" Target="https://www.diodes.com/assets/Datasheets/DMN68M7SCT.pdf" TargetMode="External"/><Relationship Id="rId_hyperlink_1527" Type="http://schemas.openxmlformats.org/officeDocument/2006/relationships/hyperlink" Target="https://www.diodes.com/part/view/DMNH10H021SPSW" TargetMode="External"/><Relationship Id="rId_hyperlink_1528" Type="http://schemas.openxmlformats.org/officeDocument/2006/relationships/hyperlink" Target="https://www.diodes.com/assets/Datasheets/DMNH10H021SPSW.pdf" TargetMode="External"/><Relationship Id="rId_hyperlink_1529" Type="http://schemas.openxmlformats.org/officeDocument/2006/relationships/hyperlink" Target="https://www.diodes.com/part/view/DMNH10H028SCT" TargetMode="External"/><Relationship Id="rId_hyperlink_1530" Type="http://schemas.openxmlformats.org/officeDocument/2006/relationships/hyperlink" Target="https://www.diodes.com/assets/Datasheets/DMNH10H028SCT.pdf" TargetMode="External"/><Relationship Id="rId_hyperlink_1531" Type="http://schemas.openxmlformats.org/officeDocument/2006/relationships/hyperlink" Target="https://www.diodes.com/part/view/DMNH10H028SK3" TargetMode="External"/><Relationship Id="rId_hyperlink_1532" Type="http://schemas.openxmlformats.org/officeDocument/2006/relationships/hyperlink" Target="https://www.diodes.com/assets/Datasheets/DMNH10H028SK3.pdf" TargetMode="External"/><Relationship Id="rId_hyperlink_1533" Type="http://schemas.openxmlformats.org/officeDocument/2006/relationships/hyperlink" Target="https://www.diodes.com/part/view/DMNH10H028SK3Q" TargetMode="External"/><Relationship Id="rId_hyperlink_1534" Type="http://schemas.openxmlformats.org/officeDocument/2006/relationships/hyperlink" Target="https://www.diodes.com/assets/Datasheets/DMNH10H028SK3Q.pdf" TargetMode="External"/><Relationship Id="rId_hyperlink_1535" Type="http://schemas.openxmlformats.org/officeDocument/2006/relationships/hyperlink" Target="https://www.diodes.com/part/view/DMNH10H028SPS" TargetMode="External"/><Relationship Id="rId_hyperlink_1536" Type="http://schemas.openxmlformats.org/officeDocument/2006/relationships/hyperlink" Target="https://www.diodes.com/assets/Datasheets/DMNH10H028SPS.pdf" TargetMode="External"/><Relationship Id="rId_hyperlink_1537" Type="http://schemas.openxmlformats.org/officeDocument/2006/relationships/hyperlink" Target="https://www.diodes.com/part/view/DMNH10H028SPSQ" TargetMode="External"/><Relationship Id="rId_hyperlink_1538" Type="http://schemas.openxmlformats.org/officeDocument/2006/relationships/hyperlink" Target="https://www.diodes.com/assets/Datasheets/DMNH10H028SPSQ.pdf" TargetMode="External"/><Relationship Id="rId_hyperlink_1539" Type="http://schemas.openxmlformats.org/officeDocument/2006/relationships/hyperlink" Target="https://www.diodes.com/part/view/DMNH10H028SPSWQ" TargetMode="External"/><Relationship Id="rId_hyperlink_1540" Type="http://schemas.openxmlformats.org/officeDocument/2006/relationships/hyperlink" Target="https://www.diodes.com/assets/Datasheets/DMNH10H028SPSWQ.pdf" TargetMode="External"/><Relationship Id="rId_hyperlink_1541" Type="http://schemas.openxmlformats.org/officeDocument/2006/relationships/hyperlink" Target="https://www.diodes.com/part/view/DMNH3010LK3" TargetMode="External"/><Relationship Id="rId_hyperlink_1542" Type="http://schemas.openxmlformats.org/officeDocument/2006/relationships/hyperlink" Target="https://www.diodes.com/assets/Datasheets/DMNH3010LK3.pdf" TargetMode="External"/><Relationship Id="rId_hyperlink_1543" Type="http://schemas.openxmlformats.org/officeDocument/2006/relationships/hyperlink" Target="https://www.diodes.com/part/view/DMNH4004SPS" TargetMode="External"/><Relationship Id="rId_hyperlink_1544" Type="http://schemas.openxmlformats.org/officeDocument/2006/relationships/hyperlink" Target="https://www.diodes.com/assets/Datasheets/DMNH4004SPS.pdf" TargetMode="External"/><Relationship Id="rId_hyperlink_1545" Type="http://schemas.openxmlformats.org/officeDocument/2006/relationships/hyperlink" Target="https://www.diodes.com/part/view/DMNH4005SCT" TargetMode="External"/><Relationship Id="rId_hyperlink_1546" Type="http://schemas.openxmlformats.org/officeDocument/2006/relationships/hyperlink" Target="https://www.diodes.com/assets/Datasheets/DMNH4005SCT.pdf" TargetMode="External"/><Relationship Id="rId_hyperlink_1547" Type="http://schemas.openxmlformats.org/officeDocument/2006/relationships/hyperlink" Target="https://www.diodes.com/part/view/DMNH4005SCTQ" TargetMode="External"/><Relationship Id="rId_hyperlink_1548" Type="http://schemas.openxmlformats.org/officeDocument/2006/relationships/hyperlink" Target="https://www.diodes.com/assets/Datasheets/DMNH4005SCTQ.pdf" TargetMode="External"/><Relationship Id="rId_hyperlink_1549" Type="http://schemas.openxmlformats.org/officeDocument/2006/relationships/hyperlink" Target="https://www.diodes.com/part/view/DMNH4005SPS" TargetMode="External"/><Relationship Id="rId_hyperlink_1550" Type="http://schemas.openxmlformats.org/officeDocument/2006/relationships/hyperlink" Target="https://www.diodes.com/assets/Datasheets/DMNH4005SPS.pdf" TargetMode="External"/><Relationship Id="rId_hyperlink_1551" Type="http://schemas.openxmlformats.org/officeDocument/2006/relationships/hyperlink" Target="https://www.diodes.com/part/view/DMNH4005SPSQ" TargetMode="External"/><Relationship Id="rId_hyperlink_1552" Type="http://schemas.openxmlformats.org/officeDocument/2006/relationships/hyperlink" Target="https://www.diodes.com/assets/Datasheets/DMNH4005SPSQ.pdf" TargetMode="External"/><Relationship Id="rId_hyperlink_1553" Type="http://schemas.openxmlformats.org/officeDocument/2006/relationships/hyperlink" Target="https://www.diodes.com/part/view/DMNH4005SPSWQ" TargetMode="External"/><Relationship Id="rId_hyperlink_1554" Type="http://schemas.openxmlformats.org/officeDocument/2006/relationships/hyperlink" Target="https://www.diodes.com/assets/Datasheets/DMNH4005SPSWQ.pdf" TargetMode="External"/><Relationship Id="rId_hyperlink_1555" Type="http://schemas.openxmlformats.org/officeDocument/2006/relationships/hyperlink" Target="https://www.diodes.com/part/view/DMNH4006SK3" TargetMode="External"/><Relationship Id="rId_hyperlink_1556" Type="http://schemas.openxmlformats.org/officeDocument/2006/relationships/hyperlink" Target="https://www.diodes.com/assets/Datasheets/DMNH4006SK3.pdf" TargetMode="External"/><Relationship Id="rId_hyperlink_1557" Type="http://schemas.openxmlformats.org/officeDocument/2006/relationships/hyperlink" Target="https://www.diodes.com/part/view/DMNH4006SK3Q" TargetMode="External"/><Relationship Id="rId_hyperlink_1558" Type="http://schemas.openxmlformats.org/officeDocument/2006/relationships/hyperlink" Target="https://www.diodes.com/assets/Datasheets/DMNH4006SK3Q.pdf" TargetMode="External"/><Relationship Id="rId_hyperlink_1559" Type="http://schemas.openxmlformats.org/officeDocument/2006/relationships/hyperlink" Target="https://www.diodes.com/part/view/DMNH4006SPS" TargetMode="External"/><Relationship Id="rId_hyperlink_1560" Type="http://schemas.openxmlformats.org/officeDocument/2006/relationships/hyperlink" Target="https://www.diodes.com/assets/Datasheets/DMNH4006SPS.pdf" TargetMode="External"/><Relationship Id="rId_hyperlink_1561" Type="http://schemas.openxmlformats.org/officeDocument/2006/relationships/hyperlink" Target="https://www.diodes.com/part/view/DMNH4006SPSQ" TargetMode="External"/><Relationship Id="rId_hyperlink_1562" Type="http://schemas.openxmlformats.org/officeDocument/2006/relationships/hyperlink" Target="https://www.diodes.com/assets/Datasheets/DMNH4006SPSQ.pdf" TargetMode="External"/><Relationship Id="rId_hyperlink_1563" Type="http://schemas.openxmlformats.org/officeDocument/2006/relationships/hyperlink" Target="https://www.diodes.com/part/view/DMNH4006SPSWQ" TargetMode="External"/><Relationship Id="rId_hyperlink_1564" Type="http://schemas.openxmlformats.org/officeDocument/2006/relationships/hyperlink" Target="https://www.diodes.com/assets/Datasheets/DMNH4006SPSWQ.pdf" TargetMode="External"/><Relationship Id="rId_hyperlink_1565" Type="http://schemas.openxmlformats.org/officeDocument/2006/relationships/hyperlink" Target="https://www.diodes.com/part/view/DMNH4011SK3Q" TargetMode="External"/><Relationship Id="rId_hyperlink_1566" Type="http://schemas.openxmlformats.org/officeDocument/2006/relationships/hyperlink" Target="https://www.diodes.com/assets/Datasheets/DMNH4011SK3Q.pdf" TargetMode="External"/><Relationship Id="rId_hyperlink_1567" Type="http://schemas.openxmlformats.org/officeDocument/2006/relationships/hyperlink" Target="https://www.diodes.com/part/view/DMNH4011SPS" TargetMode="External"/><Relationship Id="rId_hyperlink_1568" Type="http://schemas.openxmlformats.org/officeDocument/2006/relationships/hyperlink" Target="https://www.diodes.com/assets/Datasheets/DMNH4011SPS.pdf" TargetMode="External"/><Relationship Id="rId_hyperlink_1569" Type="http://schemas.openxmlformats.org/officeDocument/2006/relationships/hyperlink" Target="https://www.diodes.com/part/view/DMNH4011SPSQ" TargetMode="External"/><Relationship Id="rId_hyperlink_1570" Type="http://schemas.openxmlformats.org/officeDocument/2006/relationships/hyperlink" Target="https://www.diodes.com/assets/Datasheets/DMNH4011SPSQ.pdf" TargetMode="External"/><Relationship Id="rId_hyperlink_1571" Type="http://schemas.openxmlformats.org/officeDocument/2006/relationships/hyperlink" Target="https://www.diodes.com/part/view/DMNH4011SPSWQ" TargetMode="External"/><Relationship Id="rId_hyperlink_1572" Type="http://schemas.openxmlformats.org/officeDocument/2006/relationships/hyperlink" Target="https://www.diodes.com/assets/Datasheets/DMNH4011SPSWQ.pdf" TargetMode="External"/><Relationship Id="rId_hyperlink_1573" Type="http://schemas.openxmlformats.org/officeDocument/2006/relationships/hyperlink" Target="https://www.diodes.com/part/view/DMNH4015SSD" TargetMode="External"/><Relationship Id="rId_hyperlink_1574" Type="http://schemas.openxmlformats.org/officeDocument/2006/relationships/hyperlink" Target="https://www.diodes.com/assets/Datasheets/DMNH4015SSD.pdf" TargetMode="External"/><Relationship Id="rId_hyperlink_1575" Type="http://schemas.openxmlformats.org/officeDocument/2006/relationships/hyperlink" Target="https://www.diodes.com/part/view/DMNH4015SSDQ" TargetMode="External"/><Relationship Id="rId_hyperlink_1576" Type="http://schemas.openxmlformats.org/officeDocument/2006/relationships/hyperlink" Target="https://www.diodes.com/assets/Datasheets/DMNH4015SSDQ.pdf" TargetMode="External"/><Relationship Id="rId_hyperlink_1577" Type="http://schemas.openxmlformats.org/officeDocument/2006/relationships/hyperlink" Target="https://www.diodes.com/part/view/DMNH4026SSD" TargetMode="External"/><Relationship Id="rId_hyperlink_1578" Type="http://schemas.openxmlformats.org/officeDocument/2006/relationships/hyperlink" Target="https://www.diodes.com/assets/Datasheets/DMNH4026SSD.pdf" TargetMode="External"/><Relationship Id="rId_hyperlink_1579" Type="http://schemas.openxmlformats.org/officeDocument/2006/relationships/hyperlink" Target="https://www.diodes.com/part/view/DMNH4026SSDQ" TargetMode="External"/><Relationship Id="rId_hyperlink_1580" Type="http://schemas.openxmlformats.org/officeDocument/2006/relationships/hyperlink" Target="https://www.diodes.com/assets/Datasheets/DMNH4026SSDQ.pdf" TargetMode="External"/><Relationship Id="rId_hyperlink_1581" Type="http://schemas.openxmlformats.org/officeDocument/2006/relationships/hyperlink" Target="https://www.diodes.com/part/view/DMNH45M7SCT" TargetMode="External"/><Relationship Id="rId_hyperlink_1582" Type="http://schemas.openxmlformats.org/officeDocument/2006/relationships/hyperlink" Target="https://www.diodes.com/assets/Datasheets/DMNH45M7SCT.pdf" TargetMode="External"/><Relationship Id="rId_hyperlink_1583" Type="http://schemas.openxmlformats.org/officeDocument/2006/relationships/hyperlink" Target="https://www.diodes.com/part/view/DMNH6008SCT" TargetMode="External"/><Relationship Id="rId_hyperlink_1584" Type="http://schemas.openxmlformats.org/officeDocument/2006/relationships/hyperlink" Target="https://www.diodes.com/assets/Datasheets/DMNH6008SCT.pdf" TargetMode="External"/><Relationship Id="rId_hyperlink_1585" Type="http://schemas.openxmlformats.org/officeDocument/2006/relationships/hyperlink" Target="https://www.diodes.com/part/view/DMNH6008SCTQ" TargetMode="External"/><Relationship Id="rId_hyperlink_1586" Type="http://schemas.openxmlformats.org/officeDocument/2006/relationships/hyperlink" Target="https://www.diodes.com/assets/Datasheets/DMNH6008SCTQ.pdf" TargetMode="External"/><Relationship Id="rId_hyperlink_1587" Type="http://schemas.openxmlformats.org/officeDocument/2006/relationships/hyperlink" Target="https://www.diodes.com/part/view/DMNH6008SPS" TargetMode="External"/><Relationship Id="rId_hyperlink_1588" Type="http://schemas.openxmlformats.org/officeDocument/2006/relationships/hyperlink" Target="https://www.diodes.com/assets/Datasheets/DMNH6008SPS.pdf" TargetMode="External"/><Relationship Id="rId_hyperlink_1589" Type="http://schemas.openxmlformats.org/officeDocument/2006/relationships/hyperlink" Target="https://www.diodes.com/part/view/DMNH6008SPSQ" TargetMode="External"/><Relationship Id="rId_hyperlink_1590" Type="http://schemas.openxmlformats.org/officeDocument/2006/relationships/hyperlink" Target="https://www.diodes.com/assets/Datasheets/DMNH6008SPSQ.pdf" TargetMode="External"/><Relationship Id="rId_hyperlink_1591" Type="http://schemas.openxmlformats.org/officeDocument/2006/relationships/hyperlink" Target="https://www.diodes.com/part/view/DMNH6008SPSWQ" TargetMode="External"/><Relationship Id="rId_hyperlink_1592" Type="http://schemas.openxmlformats.org/officeDocument/2006/relationships/hyperlink" Target="https://www.diodes.com/assets/Datasheets/DMNH6008SPSWQ.pdf" TargetMode="External"/><Relationship Id="rId_hyperlink_1593" Type="http://schemas.openxmlformats.org/officeDocument/2006/relationships/hyperlink" Target="https://www.diodes.com/part/view/DMNH6009SPS" TargetMode="External"/><Relationship Id="rId_hyperlink_1594" Type="http://schemas.openxmlformats.org/officeDocument/2006/relationships/hyperlink" Target="https://www.diodes.com/assets/Datasheets/DMNH6009SPS.pdf" TargetMode="External"/><Relationship Id="rId_hyperlink_1595" Type="http://schemas.openxmlformats.org/officeDocument/2006/relationships/hyperlink" Target="https://www.diodes.com/part/view/DMNH6010SCTB" TargetMode="External"/><Relationship Id="rId_hyperlink_1596" Type="http://schemas.openxmlformats.org/officeDocument/2006/relationships/hyperlink" Target="https://www.diodes.com/assets/Datasheets/DMNH6010SCTB.pdf" TargetMode="External"/><Relationship Id="rId_hyperlink_1597" Type="http://schemas.openxmlformats.org/officeDocument/2006/relationships/hyperlink" Target="https://www.diodes.com/part/view/DMNH6010SCTBQ" TargetMode="External"/><Relationship Id="rId_hyperlink_1598" Type="http://schemas.openxmlformats.org/officeDocument/2006/relationships/hyperlink" Target="https://www.diodes.com/assets/Datasheets/DMNH6010SCTBQ.pdf" TargetMode="External"/><Relationship Id="rId_hyperlink_1599" Type="http://schemas.openxmlformats.org/officeDocument/2006/relationships/hyperlink" Target="https://www.diodes.com/part/view/DMNH6011LK3" TargetMode="External"/><Relationship Id="rId_hyperlink_1600" Type="http://schemas.openxmlformats.org/officeDocument/2006/relationships/hyperlink" Target="https://www.diodes.com/assets/Datasheets/DMNH6011LK3.pdf" TargetMode="External"/><Relationship Id="rId_hyperlink_1601" Type="http://schemas.openxmlformats.org/officeDocument/2006/relationships/hyperlink" Target="https://www.diodes.com/part/view/DMNH6011LK3Q" TargetMode="External"/><Relationship Id="rId_hyperlink_1602" Type="http://schemas.openxmlformats.org/officeDocument/2006/relationships/hyperlink" Target="https://www.diodes.com/assets/Datasheets/DMNH6011LK3Q.pdf" TargetMode="External"/><Relationship Id="rId_hyperlink_1603" Type="http://schemas.openxmlformats.org/officeDocument/2006/relationships/hyperlink" Target="https://www.diodes.com/part/view/DMNH6012LK3" TargetMode="External"/><Relationship Id="rId_hyperlink_1604" Type="http://schemas.openxmlformats.org/officeDocument/2006/relationships/hyperlink" Target="https://www.diodes.com/assets/Datasheets/DMNH6012LK3.pdf" TargetMode="External"/><Relationship Id="rId_hyperlink_1605" Type="http://schemas.openxmlformats.org/officeDocument/2006/relationships/hyperlink" Target="https://www.diodes.com/part/view/DMNH6012LK3Q" TargetMode="External"/><Relationship Id="rId_hyperlink_1606" Type="http://schemas.openxmlformats.org/officeDocument/2006/relationships/hyperlink" Target="https://www.diodes.com/assets/Datasheets/DMNH6012LK3Q.pdf" TargetMode="External"/><Relationship Id="rId_hyperlink_1607" Type="http://schemas.openxmlformats.org/officeDocument/2006/relationships/hyperlink" Target="https://www.diodes.com/part/view/DMNH6012SPS" TargetMode="External"/><Relationship Id="rId_hyperlink_1608" Type="http://schemas.openxmlformats.org/officeDocument/2006/relationships/hyperlink" Target="https://www.diodes.com/assets/Datasheets/DMNH6012SPS.pdf" TargetMode="External"/><Relationship Id="rId_hyperlink_1609" Type="http://schemas.openxmlformats.org/officeDocument/2006/relationships/hyperlink" Target="https://www.diodes.com/part/view/DMNH6012SPSQ" TargetMode="External"/><Relationship Id="rId_hyperlink_1610" Type="http://schemas.openxmlformats.org/officeDocument/2006/relationships/hyperlink" Target="https://www.diodes.com/assets/Datasheets/DMNH6012SPSQ.pdf" TargetMode="External"/><Relationship Id="rId_hyperlink_1611" Type="http://schemas.openxmlformats.org/officeDocument/2006/relationships/hyperlink" Target="https://www.diodes.com/part/view/DMNH6012SPSWQ" TargetMode="External"/><Relationship Id="rId_hyperlink_1612" Type="http://schemas.openxmlformats.org/officeDocument/2006/relationships/hyperlink" Target="https://www.diodes.com/assets/Datasheets/DMNH6012SPSWQ.pdf" TargetMode="External"/><Relationship Id="rId_hyperlink_1613" Type="http://schemas.openxmlformats.org/officeDocument/2006/relationships/hyperlink" Target="https://www.diodes.com/part/view/DMNH6021SK3" TargetMode="External"/><Relationship Id="rId_hyperlink_1614" Type="http://schemas.openxmlformats.org/officeDocument/2006/relationships/hyperlink" Target="https://www.diodes.com/assets/Datasheets/DMNH6021SK3.pdf" TargetMode="External"/><Relationship Id="rId_hyperlink_1615" Type="http://schemas.openxmlformats.org/officeDocument/2006/relationships/hyperlink" Target="https://www.diodes.com/part/view/DMNH6021SK3Q" TargetMode="External"/><Relationship Id="rId_hyperlink_1616" Type="http://schemas.openxmlformats.org/officeDocument/2006/relationships/hyperlink" Target="https://www.diodes.com/assets/Datasheets/DMNH6021SK3Q.pdf" TargetMode="External"/><Relationship Id="rId_hyperlink_1617" Type="http://schemas.openxmlformats.org/officeDocument/2006/relationships/hyperlink" Target="https://www.diodes.com/part/view/DMNH6021SPD" TargetMode="External"/><Relationship Id="rId_hyperlink_1618" Type="http://schemas.openxmlformats.org/officeDocument/2006/relationships/hyperlink" Target="https://www.diodes.com/assets/Datasheets/DMNH6021SPD.pdf" TargetMode="External"/><Relationship Id="rId_hyperlink_1619" Type="http://schemas.openxmlformats.org/officeDocument/2006/relationships/hyperlink" Target="https://www.diodes.com/part/view/DMNH6021SPDQ" TargetMode="External"/><Relationship Id="rId_hyperlink_1620" Type="http://schemas.openxmlformats.org/officeDocument/2006/relationships/hyperlink" Target="https://www.diodes.com/assets/Datasheets/DMNH6021SPDQ.pdf" TargetMode="External"/><Relationship Id="rId_hyperlink_1621" Type="http://schemas.openxmlformats.org/officeDocument/2006/relationships/hyperlink" Target="https://www.diodes.com/part/view/DMNH6021SPDW" TargetMode="External"/><Relationship Id="rId_hyperlink_1622" Type="http://schemas.openxmlformats.org/officeDocument/2006/relationships/hyperlink" Target="https://www.diodes.com/assets/Datasheets/DMNH6021SPDW.pdf" TargetMode="External"/><Relationship Id="rId_hyperlink_1623" Type="http://schemas.openxmlformats.org/officeDocument/2006/relationships/hyperlink" Target="https://www.diodes.com/part/view/DMNH6021SPDWQ" TargetMode="External"/><Relationship Id="rId_hyperlink_1624" Type="http://schemas.openxmlformats.org/officeDocument/2006/relationships/hyperlink" Target="https://www.diodes.com/assets/Datasheets/DMNH6021SPDWQ.pdf" TargetMode="External"/><Relationship Id="rId_hyperlink_1625" Type="http://schemas.openxmlformats.org/officeDocument/2006/relationships/hyperlink" Target="https://www.diodes.com/part/view/DMNH6021SPS" TargetMode="External"/><Relationship Id="rId_hyperlink_1626" Type="http://schemas.openxmlformats.org/officeDocument/2006/relationships/hyperlink" Target="https://www.diodes.com/assets/Datasheets/DMNH6021SPS.pdf" TargetMode="External"/><Relationship Id="rId_hyperlink_1627" Type="http://schemas.openxmlformats.org/officeDocument/2006/relationships/hyperlink" Target="https://www.diodes.com/part/view/DMNH6021SPSQ" TargetMode="External"/><Relationship Id="rId_hyperlink_1628" Type="http://schemas.openxmlformats.org/officeDocument/2006/relationships/hyperlink" Target="https://www.diodes.com/assets/Datasheets/DMNH6021SPSQ.pdf" TargetMode="External"/><Relationship Id="rId_hyperlink_1629" Type="http://schemas.openxmlformats.org/officeDocument/2006/relationships/hyperlink" Target="https://www.diodes.com/part/view/DMNH6021SPSW" TargetMode="External"/><Relationship Id="rId_hyperlink_1630" Type="http://schemas.openxmlformats.org/officeDocument/2006/relationships/hyperlink" Target="https://www.diodes.com/assets/Datasheets/DMNH6021SPSW.pdf" TargetMode="External"/><Relationship Id="rId_hyperlink_1631" Type="http://schemas.openxmlformats.org/officeDocument/2006/relationships/hyperlink" Target="https://www.diodes.com/part/view/DMNH6021SPSWQ" TargetMode="External"/><Relationship Id="rId_hyperlink_1632" Type="http://schemas.openxmlformats.org/officeDocument/2006/relationships/hyperlink" Target="https://www.diodes.com/assets/Datasheets/DMNH6021SPSWQ.pdf" TargetMode="External"/><Relationship Id="rId_hyperlink_1633" Type="http://schemas.openxmlformats.org/officeDocument/2006/relationships/hyperlink" Target="https://www.diodes.com/part/view/DMNH6022SSD" TargetMode="External"/><Relationship Id="rId_hyperlink_1634" Type="http://schemas.openxmlformats.org/officeDocument/2006/relationships/hyperlink" Target="https://www.diodes.com/assets/Datasheets/DMNH6022SSD.pdf" TargetMode="External"/><Relationship Id="rId_hyperlink_1635" Type="http://schemas.openxmlformats.org/officeDocument/2006/relationships/hyperlink" Target="https://www.diodes.com/part/view/DMNH6022SSDQ" TargetMode="External"/><Relationship Id="rId_hyperlink_1636" Type="http://schemas.openxmlformats.org/officeDocument/2006/relationships/hyperlink" Target="https://www.diodes.com/assets/Datasheets/DMNH6022SSDQ.pdf" TargetMode="External"/><Relationship Id="rId_hyperlink_1637" Type="http://schemas.openxmlformats.org/officeDocument/2006/relationships/hyperlink" Target="https://www.diodes.com/part/view/DMNH6035SPDW" TargetMode="External"/><Relationship Id="rId_hyperlink_1638" Type="http://schemas.openxmlformats.org/officeDocument/2006/relationships/hyperlink" Target="https://www.diodes.com/assets/Datasheets/DMNH6035SPDW.pdf" TargetMode="External"/><Relationship Id="rId_hyperlink_1639" Type="http://schemas.openxmlformats.org/officeDocument/2006/relationships/hyperlink" Target="https://www.diodes.com/part/view/DMNH6035SPDWQ" TargetMode="External"/><Relationship Id="rId_hyperlink_1640" Type="http://schemas.openxmlformats.org/officeDocument/2006/relationships/hyperlink" Target="https://www.diodes.com/assets/Datasheets/DMNH6035SPDWQ.pdf" TargetMode="External"/><Relationship Id="rId_hyperlink_1641" Type="http://schemas.openxmlformats.org/officeDocument/2006/relationships/hyperlink" Target="https://www.diodes.com/part/view/DMNH6042SK3" TargetMode="External"/><Relationship Id="rId_hyperlink_1642" Type="http://schemas.openxmlformats.org/officeDocument/2006/relationships/hyperlink" Target="https://www.diodes.com/assets/Datasheets/DMNH6042SK3.pdf" TargetMode="External"/><Relationship Id="rId_hyperlink_1643" Type="http://schemas.openxmlformats.org/officeDocument/2006/relationships/hyperlink" Target="https://www.diodes.com/part/view/DMNH6042SK3Q" TargetMode="External"/><Relationship Id="rId_hyperlink_1644" Type="http://schemas.openxmlformats.org/officeDocument/2006/relationships/hyperlink" Target="https://www.diodes.com/assets/Datasheets/DMNH6042SK3Q.pdf" TargetMode="External"/><Relationship Id="rId_hyperlink_1645" Type="http://schemas.openxmlformats.org/officeDocument/2006/relationships/hyperlink" Target="https://www.diodes.com/part/view/DMNH6042SPD" TargetMode="External"/><Relationship Id="rId_hyperlink_1646" Type="http://schemas.openxmlformats.org/officeDocument/2006/relationships/hyperlink" Target="https://www.diodes.com/assets/Datasheets/DMNH6042SPD.pdf" TargetMode="External"/><Relationship Id="rId_hyperlink_1647" Type="http://schemas.openxmlformats.org/officeDocument/2006/relationships/hyperlink" Target="https://www.diodes.com/part/view/DMNH6042SPDQ" TargetMode="External"/><Relationship Id="rId_hyperlink_1648" Type="http://schemas.openxmlformats.org/officeDocument/2006/relationships/hyperlink" Target="https://www.diodes.com/assets/Datasheets/DMNH6042SPDQ.pdf" TargetMode="External"/><Relationship Id="rId_hyperlink_1649" Type="http://schemas.openxmlformats.org/officeDocument/2006/relationships/hyperlink" Target="https://www.diodes.com/part/view/DMNH6042SPS" TargetMode="External"/><Relationship Id="rId_hyperlink_1650" Type="http://schemas.openxmlformats.org/officeDocument/2006/relationships/hyperlink" Target="https://www.diodes.com/assets/Datasheets/DMNH6042SPS.pdf" TargetMode="External"/><Relationship Id="rId_hyperlink_1651" Type="http://schemas.openxmlformats.org/officeDocument/2006/relationships/hyperlink" Target="https://www.diodes.com/part/view/DMNH6042SPSQ" TargetMode="External"/><Relationship Id="rId_hyperlink_1652" Type="http://schemas.openxmlformats.org/officeDocument/2006/relationships/hyperlink" Target="https://www.diodes.com/assets/Datasheets/DMNH6042SPSQ.pdf" TargetMode="External"/><Relationship Id="rId_hyperlink_1653" Type="http://schemas.openxmlformats.org/officeDocument/2006/relationships/hyperlink" Target="https://www.diodes.com/part/view/DMNH6042SPSWQ" TargetMode="External"/><Relationship Id="rId_hyperlink_1654" Type="http://schemas.openxmlformats.org/officeDocument/2006/relationships/hyperlink" Target="https://www.diodes.com/assets/Datasheets/DMNH6042SPSWQ.pdf" TargetMode="External"/><Relationship Id="rId_hyperlink_1655" Type="http://schemas.openxmlformats.org/officeDocument/2006/relationships/hyperlink" Target="https://www.diodes.com/part/view/DMNH6042SSD" TargetMode="External"/><Relationship Id="rId_hyperlink_1656" Type="http://schemas.openxmlformats.org/officeDocument/2006/relationships/hyperlink" Target="https://www.diodes.com/assets/Datasheets/DMNH6042SSD.pdf" TargetMode="External"/><Relationship Id="rId_hyperlink_1657" Type="http://schemas.openxmlformats.org/officeDocument/2006/relationships/hyperlink" Target="https://www.diodes.com/part/view/DMNH6042SSDQ" TargetMode="External"/><Relationship Id="rId_hyperlink_1658" Type="http://schemas.openxmlformats.org/officeDocument/2006/relationships/hyperlink" Target="https://www.diodes.com/assets/Datasheets/DMNH6042SSDQ.pdf" TargetMode="External"/><Relationship Id="rId_hyperlink_1659" Type="http://schemas.openxmlformats.org/officeDocument/2006/relationships/hyperlink" Target="https://www.diodes.com/part/view/DMNH6065SPDW" TargetMode="External"/><Relationship Id="rId_hyperlink_1660" Type="http://schemas.openxmlformats.org/officeDocument/2006/relationships/hyperlink" Target="https://www.diodes.com/assets/Datasheets/DMNH6065SPDW.pdf" TargetMode="External"/><Relationship Id="rId_hyperlink_1661" Type="http://schemas.openxmlformats.org/officeDocument/2006/relationships/hyperlink" Target="https://www.diodes.com/part/view/DMNH6065SPDWQ" TargetMode="External"/><Relationship Id="rId_hyperlink_1662" Type="http://schemas.openxmlformats.org/officeDocument/2006/relationships/hyperlink" Target="https://www.diodes.com/assets/Datasheets/DMNH6065SPDWQ.pdf" TargetMode="External"/><Relationship Id="rId_hyperlink_1663" Type="http://schemas.openxmlformats.org/officeDocument/2006/relationships/hyperlink" Target="https://www.diodes.com/part/view/DMNH6065SSD" TargetMode="External"/><Relationship Id="rId_hyperlink_1664" Type="http://schemas.openxmlformats.org/officeDocument/2006/relationships/hyperlink" Target="https://www.diodes.com/assets/Datasheets/DMNH6065SSD.pdf" TargetMode="External"/><Relationship Id="rId_hyperlink_1665" Type="http://schemas.openxmlformats.org/officeDocument/2006/relationships/hyperlink" Target="https://www.diodes.com/part/view/DMNH6065SSDQ" TargetMode="External"/><Relationship Id="rId_hyperlink_1666" Type="http://schemas.openxmlformats.org/officeDocument/2006/relationships/hyperlink" Target="https://www.diodes.com/assets/Datasheets/DMNH6065SSDQ.pdf" TargetMode="External"/><Relationship Id="rId_hyperlink_1667" Type="http://schemas.openxmlformats.org/officeDocument/2006/relationships/hyperlink" Target="https://www.diodes.com/part/view/DMNH6069SFVW" TargetMode="External"/><Relationship Id="rId_hyperlink_1668" Type="http://schemas.openxmlformats.org/officeDocument/2006/relationships/hyperlink" Target="https://www.diodes.com/assets/Datasheets/DMNH6069SFVW.pdf" TargetMode="External"/><Relationship Id="rId_hyperlink_1669" Type="http://schemas.openxmlformats.org/officeDocument/2006/relationships/hyperlink" Target="https://www.diodes.com/part/view/DMNH6069SFVWQ" TargetMode="External"/><Relationship Id="rId_hyperlink_1670" Type="http://schemas.openxmlformats.org/officeDocument/2006/relationships/hyperlink" Target="https://www.diodes.com/assets/Datasheets/DMNH6069SFVWQ.pdf" TargetMode="External"/><Relationship Id="rId_hyperlink_1671" Type="http://schemas.openxmlformats.org/officeDocument/2006/relationships/hyperlink" Target="https://www.diodes.com/part/view/DMP1005UFDF" TargetMode="External"/><Relationship Id="rId_hyperlink_1672" Type="http://schemas.openxmlformats.org/officeDocument/2006/relationships/hyperlink" Target="https://www.diodes.com/assets/Datasheets/DMP1005UFDF.pdf" TargetMode="External"/><Relationship Id="rId_hyperlink_1673" Type="http://schemas.openxmlformats.org/officeDocument/2006/relationships/hyperlink" Target="https://www.diodes.com/part/view/DMP1007UCB9" TargetMode="External"/><Relationship Id="rId_hyperlink_1674" Type="http://schemas.openxmlformats.org/officeDocument/2006/relationships/hyperlink" Target="https://www.diodes.com/assets/Datasheets/DMP1007UCB9.pdf" TargetMode="External"/><Relationship Id="rId_hyperlink_1675" Type="http://schemas.openxmlformats.org/officeDocument/2006/relationships/hyperlink" Target="https://www.diodes.com/part/view/DMP1008UCA9" TargetMode="External"/><Relationship Id="rId_hyperlink_1676" Type="http://schemas.openxmlformats.org/officeDocument/2006/relationships/hyperlink" Target="https://www.diodes.com/assets/Datasheets/DMP1008UCA9.pdf" TargetMode="External"/><Relationship Id="rId_hyperlink_1677" Type="http://schemas.openxmlformats.org/officeDocument/2006/relationships/hyperlink" Target="https://www.diodes.com/part/view/DMP1008UCB9" TargetMode="External"/><Relationship Id="rId_hyperlink_1678" Type="http://schemas.openxmlformats.org/officeDocument/2006/relationships/hyperlink" Target="https://www.diodes.com/assets/Datasheets/DMP1008UCB9.pdf" TargetMode="External"/><Relationship Id="rId_hyperlink_1679" Type="http://schemas.openxmlformats.org/officeDocument/2006/relationships/hyperlink" Target="https://www.diodes.com/part/view/DMP1009UFDF" TargetMode="External"/><Relationship Id="rId_hyperlink_1680" Type="http://schemas.openxmlformats.org/officeDocument/2006/relationships/hyperlink" Target="https://www.diodes.com/assets/Datasheets/DMP1009UFDF.pdf" TargetMode="External"/><Relationship Id="rId_hyperlink_1681" Type="http://schemas.openxmlformats.org/officeDocument/2006/relationships/hyperlink" Target="https://www.diodes.com/part/view/DMP1009UFDFQ" TargetMode="External"/><Relationship Id="rId_hyperlink_1682" Type="http://schemas.openxmlformats.org/officeDocument/2006/relationships/hyperlink" Target="https://www.diodes.com/assets/Datasheets/DMP1009UFDFQ.pdf" TargetMode="External"/><Relationship Id="rId_hyperlink_1683" Type="http://schemas.openxmlformats.org/officeDocument/2006/relationships/hyperlink" Target="https://www.diodes.com/part/view/DMP1010UCA4" TargetMode="External"/><Relationship Id="rId_hyperlink_1684" Type="http://schemas.openxmlformats.org/officeDocument/2006/relationships/hyperlink" Target="https://www.diodes.com/assets/Datasheets/DMP1010UCA4.pdf" TargetMode="External"/><Relationship Id="rId_hyperlink_1685" Type="http://schemas.openxmlformats.org/officeDocument/2006/relationships/hyperlink" Target="https://www.diodes.com/part/view/DMP1011LFV" TargetMode="External"/><Relationship Id="rId_hyperlink_1686" Type="http://schemas.openxmlformats.org/officeDocument/2006/relationships/hyperlink" Target="https://www.diodes.com/assets/Datasheets/DMP1011LFV.pdf" TargetMode="External"/><Relationship Id="rId_hyperlink_1687" Type="http://schemas.openxmlformats.org/officeDocument/2006/relationships/hyperlink" Target="https://www.diodes.com/part/view/DMP1011LFVQ" TargetMode="External"/><Relationship Id="rId_hyperlink_1688" Type="http://schemas.openxmlformats.org/officeDocument/2006/relationships/hyperlink" Target="https://www.diodes.com/assets/Datasheets/DMP1011LFVQ.pdf" TargetMode="External"/><Relationship Id="rId_hyperlink_1689" Type="http://schemas.openxmlformats.org/officeDocument/2006/relationships/hyperlink" Target="https://www.diodes.com/part/view/DMP1011UCB9" TargetMode="External"/><Relationship Id="rId_hyperlink_1690" Type="http://schemas.openxmlformats.org/officeDocument/2006/relationships/hyperlink" Target="https://www.diodes.com/assets/Datasheets/DMP1011UCB9.pdf" TargetMode="External"/><Relationship Id="rId_hyperlink_1691" Type="http://schemas.openxmlformats.org/officeDocument/2006/relationships/hyperlink" Target="https://www.diodes.com/part/view/DMP1012UFDF" TargetMode="External"/><Relationship Id="rId_hyperlink_1692" Type="http://schemas.openxmlformats.org/officeDocument/2006/relationships/hyperlink" Target="https://www.diodes.com/assets/Datasheets/DMP1012UFDF.pdf" TargetMode="External"/><Relationship Id="rId_hyperlink_1693" Type="http://schemas.openxmlformats.org/officeDocument/2006/relationships/hyperlink" Target="https://www.diodes.com/part/view/DMP1012USS" TargetMode="External"/><Relationship Id="rId_hyperlink_1694" Type="http://schemas.openxmlformats.org/officeDocument/2006/relationships/hyperlink" Target="https://www.diodes.com/assets/Datasheets/DMP1012USS.pdf" TargetMode="External"/><Relationship Id="rId_hyperlink_1695" Type="http://schemas.openxmlformats.org/officeDocument/2006/relationships/hyperlink" Target="https://www.diodes.com/part/view/DMP1012USSQ" TargetMode="External"/><Relationship Id="rId_hyperlink_1696" Type="http://schemas.openxmlformats.org/officeDocument/2006/relationships/hyperlink" Target="https://www.diodes.com/assets/Datasheets/DMP1012USSQ.pdf" TargetMode="External"/><Relationship Id="rId_hyperlink_1697" Type="http://schemas.openxmlformats.org/officeDocument/2006/relationships/hyperlink" Target="https://www.diodes.com/part/view/DMP1022UFDEQ" TargetMode="External"/><Relationship Id="rId_hyperlink_1698" Type="http://schemas.openxmlformats.org/officeDocument/2006/relationships/hyperlink" Target="https://www.diodes.com/assets/Datasheets/DMP1022UFDEQ.pdf" TargetMode="External"/><Relationship Id="rId_hyperlink_1699" Type="http://schemas.openxmlformats.org/officeDocument/2006/relationships/hyperlink" Target="https://www.diodes.com/part/view/DMP1022UFDF" TargetMode="External"/><Relationship Id="rId_hyperlink_1700" Type="http://schemas.openxmlformats.org/officeDocument/2006/relationships/hyperlink" Target="https://www.diodes.com/assets/Datasheets/DMP1022UFDF.pdf" TargetMode="External"/><Relationship Id="rId_hyperlink_1701" Type="http://schemas.openxmlformats.org/officeDocument/2006/relationships/hyperlink" Target="https://www.diodes.com/part/view/DMP1022UWS" TargetMode="External"/><Relationship Id="rId_hyperlink_1702" Type="http://schemas.openxmlformats.org/officeDocument/2006/relationships/hyperlink" Target="https://www.diodes.com/assets/Datasheets/DMP1022UWS.pdf" TargetMode="External"/><Relationship Id="rId_hyperlink_1703" Type="http://schemas.openxmlformats.org/officeDocument/2006/relationships/hyperlink" Target="https://www.diodes.com/part/view/DMP1045U" TargetMode="External"/><Relationship Id="rId_hyperlink_1704" Type="http://schemas.openxmlformats.org/officeDocument/2006/relationships/hyperlink" Target="https://www.diodes.com/assets/Datasheets/DMP1045U.pdf" TargetMode="External"/><Relationship Id="rId_hyperlink_1705" Type="http://schemas.openxmlformats.org/officeDocument/2006/relationships/hyperlink" Target="https://www.diodes.com/part/view/DMP1045UCB4" TargetMode="External"/><Relationship Id="rId_hyperlink_1706" Type="http://schemas.openxmlformats.org/officeDocument/2006/relationships/hyperlink" Target="https://www.diodes.com/assets/Datasheets/DMP1045UCB4.pdf" TargetMode="External"/><Relationship Id="rId_hyperlink_1707" Type="http://schemas.openxmlformats.org/officeDocument/2006/relationships/hyperlink" Target="https://www.diodes.com/part/view/DMP1045UFY4" TargetMode="External"/><Relationship Id="rId_hyperlink_1708" Type="http://schemas.openxmlformats.org/officeDocument/2006/relationships/hyperlink" Target="https://www.diodes.com/assets/Datasheets/DMP1045UFY4.pdf" TargetMode="External"/><Relationship Id="rId_hyperlink_1709" Type="http://schemas.openxmlformats.org/officeDocument/2006/relationships/hyperlink" Target="https://www.diodes.com/part/view/DMP1045UQ" TargetMode="External"/><Relationship Id="rId_hyperlink_1710" Type="http://schemas.openxmlformats.org/officeDocument/2006/relationships/hyperlink" Target="https://www.diodes.com/assets/Datasheets/DMP1045UQ.pdf" TargetMode="External"/><Relationship Id="rId_hyperlink_1711" Type="http://schemas.openxmlformats.org/officeDocument/2006/relationships/hyperlink" Target="https://www.diodes.com/part/view/DMP1046UFDB" TargetMode="External"/><Relationship Id="rId_hyperlink_1712" Type="http://schemas.openxmlformats.org/officeDocument/2006/relationships/hyperlink" Target="https://www.diodes.com/assets/Datasheets/DMP1046UFDB.pdf" TargetMode="External"/><Relationship Id="rId_hyperlink_1713" Type="http://schemas.openxmlformats.org/officeDocument/2006/relationships/hyperlink" Target="https://www.diodes.com/part/view/DMP1055UFDB" TargetMode="External"/><Relationship Id="rId_hyperlink_1714" Type="http://schemas.openxmlformats.org/officeDocument/2006/relationships/hyperlink" Target="https://www.diodes.com/assets/Datasheets/DMP1055UFDB.pdf" TargetMode="External"/><Relationship Id="rId_hyperlink_1715" Type="http://schemas.openxmlformats.org/officeDocument/2006/relationships/hyperlink" Target="https://www.diodes.com/part/view/DMP1055USW" TargetMode="External"/><Relationship Id="rId_hyperlink_1716" Type="http://schemas.openxmlformats.org/officeDocument/2006/relationships/hyperlink" Target="https://www.diodes.com/assets/Datasheets/DMP1055USW.pdf" TargetMode="External"/><Relationship Id="rId_hyperlink_1717" Type="http://schemas.openxmlformats.org/officeDocument/2006/relationships/hyperlink" Target="https://www.diodes.com/part/view/DMP1070U" TargetMode="External"/><Relationship Id="rId_hyperlink_1718" Type="http://schemas.openxmlformats.org/officeDocument/2006/relationships/hyperlink" Target="https://www.diodes.com/assets/Datasheets/DMP1070U.pdf" TargetMode="External"/><Relationship Id="rId_hyperlink_1719" Type="http://schemas.openxmlformats.org/officeDocument/2006/relationships/hyperlink" Target="https://www.diodes.com/part/view/DMP1070UCA3" TargetMode="External"/><Relationship Id="rId_hyperlink_1720" Type="http://schemas.openxmlformats.org/officeDocument/2006/relationships/hyperlink" Target="https://www.diodes.com/assets/Datasheets/DMP1070UCA3.pdf" TargetMode="External"/><Relationship Id="rId_hyperlink_1721" Type="http://schemas.openxmlformats.org/officeDocument/2006/relationships/hyperlink" Target="https://www.diodes.com/part/view/DMP1070UQ" TargetMode="External"/><Relationship Id="rId_hyperlink_1722" Type="http://schemas.openxmlformats.org/officeDocument/2006/relationships/hyperlink" Target="https://www.diodes.com/assets/Datasheets/DMP1070UQ.pdf" TargetMode="External"/><Relationship Id="rId_hyperlink_1723" Type="http://schemas.openxmlformats.org/officeDocument/2006/relationships/hyperlink" Target="https://www.diodes.com/part/view/DMP10H088SPS" TargetMode="External"/><Relationship Id="rId_hyperlink_1724" Type="http://schemas.openxmlformats.org/officeDocument/2006/relationships/hyperlink" Target="https://www.diodes.com/assets/Datasheets/DMP10H088SPS.pdf" TargetMode="External"/><Relationship Id="rId_hyperlink_1725" Type="http://schemas.openxmlformats.org/officeDocument/2006/relationships/hyperlink" Target="https://www.diodes.com/part/view/DMP10H400SE" TargetMode="External"/><Relationship Id="rId_hyperlink_1726" Type="http://schemas.openxmlformats.org/officeDocument/2006/relationships/hyperlink" Target="https://www.diodes.com/assets/Datasheets/DMP10H400SE.pdf" TargetMode="External"/><Relationship Id="rId_hyperlink_1727" Type="http://schemas.openxmlformats.org/officeDocument/2006/relationships/hyperlink" Target="https://www.diodes.com/part/view/DMP10H400SEQ" TargetMode="External"/><Relationship Id="rId_hyperlink_1728" Type="http://schemas.openxmlformats.org/officeDocument/2006/relationships/hyperlink" Target="https://www.diodes.com/assets/Datasheets/DMP10H400SEQ.pdf" TargetMode="External"/><Relationship Id="rId_hyperlink_1729" Type="http://schemas.openxmlformats.org/officeDocument/2006/relationships/hyperlink" Target="https://www.diodes.com/part/view/DMP10H400SK3" TargetMode="External"/><Relationship Id="rId_hyperlink_1730" Type="http://schemas.openxmlformats.org/officeDocument/2006/relationships/hyperlink" Target="https://www.diodes.com/assets/Datasheets/DMP10H400SK3.pdf" TargetMode="External"/><Relationship Id="rId_hyperlink_1731" Type="http://schemas.openxmlformats.org/officeDocument/2006/relationships/hyperlink" Target="https://www.diodes.com/part/view/DMP10H4D2S" TargetMode="External"/><Relationship Id="rId_hyperlink_1732" Type="http://schemas.openxmlformats.org/officeDocument/2006/relationships/hyperlink" Target="https://www.diodes.com/assets/Datasheets/DMP10H4D2S.pdf" TargetMode="External"/><Relationship Id="rId_hyperlink_1733" Type="http://schemas.openxmlformats.org/officeDocument/2006/relationships/hyperlink" Target="https://www.diodes.com/part/view/DMP10H4D2SQ" TargetMode="External"/><Relationship Id="rId_hyperlink_1734" Type="http://schemas.openxmlformats.org/officeDocument/2006/relationships/hyperlink" Target="https://www.diodes.com/assets/Datasheets/DMP10H4D2SQ.pdf" TargetMode="External"/><Relationship Id="rId_hyperlink_1735" Type="http://schemas.openxmlformats.org/officeDocument/2006/relationships/hyperlink" Target="https://www.diodes.com/part/view/DMP1100UCB4" TargetMode="External"/><Relationship Id="rId_hyperlink_1736" Type="http://schemas.openxmlformats.org/officeDocument/2006/relationships/hyperlink" Target="https://www.diodes.com/assets/Datasheets/DMP1100UCB4.pdf" TargetMode="External"/><Relationship Id="rId_hyperlink_1737" Type="http://schemas.openxmlformats.org/officeDocument/2006/relationships/hyperlink" Target="https://www.diodes.com/part/view/DMP1200UFR4" TargetMode="External"/><Relationship Id="rId_hyperlink_1738" Type="http://schemas.openxmlformats.org/officeDocument/2006/relationships/hyperlink" Target="https://www.diodes.com/assets/Datasheets/DMP1200UFR4.pdf" TargetMode="External"/><Relationship Id="rId_hyperlink_1739" Type="http://schemas.openxmlformats.org/officeDocument/2006/relationships/hyperlink" Target="https://www.diodes.com/part/view/DMP1245UFCL" TargetMode="External"/><Relationship Id="rId_hyperlink_1740" Type="http://schemas.openxmlformats.org/officeDocument/2006/relationships/hyperlink" Target="https://www.diodes.com/assets/Datasheets/DMP1245UFCL.pdf" TargetMode="External"/><Relationship Id="rId_hyperlink_1741" Type="http://schemas.openxmlformats.org/officeDocument/2006/relationships/hyperlink" Target="https://www.diodes.com/part/view/DMP1555UFA" TargetMode="External"/><Relationship Id="rId_hyperlink_1742" Type="http://schemas.openxmlformats.org/officeDocument/2006/relationships/hyperlink" Target="https://www.diodes.com/assets/Datasheets/DMP1555UFA.pdf" TargetMode="External"/><Relationship Id="rId_hyperlink_1743" Type="http://schemas.openxmlformats.org/officeDocument/2006/relationships/hyperlink" Target="https://www.diodes.com/part/view/DMP2002UPS" TargetMode="External"/><Relationship Id="rId_hyperlink_1744" Type="http://schemas.openxmlformats.org/officeDocument/2006/relationships/hyperlink" Target="https://www.diodes.com/assets/Datasheets/DMP2002UPS.pdf" TargetMode="External"/><Relationship Id="rId_hyperlink_1745" Type="http://schemas.openxmlformats.org/officeDocument/2006/relationships/hyperlink" Target="https://www.diodes.com/part/view/DMP2003UPS" TargetMode="External"/><Relationship Id="rId_hyperlink_1746" Type="http://schemas.openxmlformats.org/officeDocument/2006/relationships/hyperlink" Target="https://www.diodes.com/assets/Datasheets/DMP2003UPS.pdf" TargetMode="External"/><Relationship Id="rId_hyperlink_1747" Type="http://schemas.openxmlformats.org/officeDocument/2006/relationships/hyperlink" Target="https://www.diodes.com/part/view/DMP2004DMK" TargetMode="External"/><Relationship Id="rId_hyperlink_1748" Type="http://schemas.openxmlformats.org/officeDocument/2006/relationships/hyperlink" Target="https://www.diodes.com/assets/Datasheets/ds30939.pdf" TargetMode="External"/><Relationship Id="rId_hyperlink_1749" Type="http://schemas.openxmlformats.org/officeDocument/2006/relationships/hyperlink" Target="https://www.diodes.com/part/view/DMP2004DWK" TargetMode="External"/><Relationship Id="rId_hyperlink_1750" Type="http://schemas.openxmlformats.org/officeDocument/2006/relationships/hyperlink" Target="https://www.diodes.com/assets/Datasheets/DMP2004DWK.pdf" TargetMode="External"/><Relationship Id="rId_hyperlink_1751" Type="http://schemas.openxmlformats.org/officeDocument/2006/relationships/hyperlink" Target="https://www.diodes.com/part/view/DMP2004K" TargetMode="External"/><Relationship Id="rId_hyperlink_1752" Type="http://schemas.openxmlformats.org/officeDocument/2006/relationships/hyperlink" Target="https://www.diodes.com/assets/Datasheets/ds30933.pdf" TargetMode="External"/><Relationship Id="rId_hyperlink_1753" Type="http://schemas.openxmlformats.org/officeDocument/2006/relationships/hyperlink" Target="https://www.diodes.com/part/view/DMP2004TK" TargetMode="External"/><Relationship Id="rId_hyperlink_1754" Type="http://schemas.openxmlformats.org/officeDocument/2006/relationships/hyperlink" Target="https://www.diodes.com/assets/Datasheets/ds30932.pdf" TargetMode="External"/><Relationship Id="rId_hyperlink_1755" Type="http://schemas.openxmlformats.org/officeDocument/2006/relationships/hyperlink" Target="https://www.diodes.com/part/view/DMP2004UFG" TargetMode="External"/><Relationship Id="rId_hyperlink_1756" Type="http://schemas.openxmlformats.org/officeDocument/2006/relationships/hyperlink" Target="https://www.diodes.com/assets/Datasheets/DMP2004UFG.pdf" TargetMode="External"/><Relationship Id="rId_hyperlink_1757" Type="http://schemas.openxmlformats.org/officeDocument/2006/relationships/hyperlink" Target="https://www.diodes.com/part/view/DMP2004VK" TargetMode="External"/><Relationship Id="rId_hyperlink_1758" Type="http://schemas.openxmlformats.org/officeDocument/2006/relationships/hyperlink" Target="https://www.diodes.com/assets/Datasheets/ds30916.pdf" TargetMode="External"/><Relationship Id="rId_hyperlink_1759" Type="http://schemas.openxmlformats.org/officeDocument/2006/relationships/hyperlink" Target="https://www.diodes.com/part/view/DMP2004WK" TargetMode="External"/><Relationship Id="rId_hyperlink_1760" Type="http://schemas.openxmlformats.org/officeDocument/2006/relationships/hyperlink" Target="https://www.diodes.com/assets/Datasheets/ds30931.pdf" TargetMode="External"/><Relationship Id="rId_hyperlink_1761" Type="http://schemas.openxmlformats.org/officeDocument/2006/relationships/hyperlink" Target="https://www.diodes.com/part/view/DMP2005UFG" TargetMode="External"/><Relationship Id="rId_hyperlink_1762" Type="http://schemas.openxmlformats.org/officeDocument/2006/relationships/hyperlink" Target="https://www.diodes.com/assets/Datasheets/DMP2005UFG.pdf" TargetMode="External"/><Relationship Id="rId_hyperlink_1763" Type="http://schemas.openxmlformats.org/officeDocument/2006/relationships/hyperlink" Target="https://www.diodes.com/part/view/DMP2006UFGQ" TargetMode="External"/><Relationship Id="rId_hyperlink_1764" Type="http://schemas.openxmlformats.org/officeDocument/2006/relationships/hyperlink" Target="https://www.diodes.com/assets/Datasheets/DMP2006UFGQ.pdf" TargetMode="External"/><Relationship Id="rId_hyperlink_1765" Type="http://schemas.openxmlformats.org/officeDocument/2006/relationships/hyperlink" Target="https://www.diodes.com/part/view/DMP2007UFG" TargetMode="External"/><Relationship Id="rId_hyperlink_1766" Type="http://schemas.openxmlformats.org/officeDocument/2006/relationships/hyperlink" Target="https://www.diodes.com/assets/Datasheets/DMP2007UFG.pdf" TargetMode="External"/><Relationship Id="rId_hyperlink_1767" Type="http://schemas.openxmlformats.org/officeDocument/2006/relationships/hyperlink" Target="https://www.diodes.com/part/view/DMP2008UFG" TargetMode="External"/><Relationship Id="rId_hyperlink_1768" Type="http://schemas.openxmlformats.org/officeDocument/2006/relationships/hyperlink" Target="https://www.diodes.com/assets/Datasheets/DMP2008UFG.pdf" TargetMode="External"/><Relationship Id="rId_hyperlink_1769" Type="http://schemas.openxmlformats.org/officeDocument/2006/relationships/hyperlink" Target="https://www.diodes.com/part/view/DMP2008USS" TargetMode="External"/><Relationship Id="rId_hyperlink_1770" Type="http://schemas.openxmlformats.org/officeDocument/2006/relationships/hyperlink" Target="https://www.diodes.com/assets/Datasheets/DMP2008USS.pdf" TargetMode="External"/><Relationship Id="rId_hyperlink_1771" Type="http://schemas.openxmlformats.org/officeDocument/2006/relationships/hyperlink" Target="https://www.diodes.com/part/view/DMP2010UFG" TargetMode="External"/><Relationship Id="rId_hyperlink_1772" Type="http://schemas.openxmlformats.org/officeDocument/2006/relationships/hyperlink" Target="https://www.diodes.com/assets/Datasheets/DMP2010UFG.pdf" TargetMode="External"/><Relationship Id="rId_hyperlink_1773" Type="http://schemas.openxmlformats.org/officeDocument/2006/relationships/hyperlink" Target="https://www.diodes.com/part/view/DMP2010UFV" TargetMode="External"/><Relationship Id="rId_hyperlink_1774" Type="http://schemas.openxmlformats.org/officeDocument/2006/relationships/hyperlink" Target="https://www.diodes.com/assets/Datasheets/DMP2010UFV.pdf" TargetMode="External"/><Relationship Id="rId_hyperlink_1775" Type="http://schemas.openxmlformats.org/officeDocument/2006/relationships/hyperlink" Target="https://www.diodes.com/part/view/DMP2012SN" TargetMode="External"/><Relationship Id="rId_hyperlink_1776" Type="http://schemas.openxmlformats.org/officeDocument/2006/relationships/hyperlink" Target="https://www.diodes.com/assets/Datasheets/DMP2012SN.pdf" TargetMode="External"/><Relationship Id="rId_hyperlink_1777" Type="http://schemas.openxmlformats.org/officeDocument/2006/relationships/hyperlink" Target="https://www.diodes.com/part/view/DMP2016UFDF" TargetMode="External"/><Relationship Id="rId_hyperlink_1778" Type="http://schemas.openxmlformats.org/officeDocument/2006/relationships/hyperlink" Target="https://www.diodes.com/assets/Datasheets/DMP2016UFDF.pdf" TargetMode="External"/><Relationship Id="rId_hyperlink_1779" Type="http://schemas.openxmlformats.org/officeDocument/2006/relationships/hyperlink" Target="https://www.diodes.com/part/view/DMP2018LFK" TargetMode="External"/><Relationship Id="rId_hyperlink_1780" Type="http://schemas.openxmlformats.org/officeDocument/2006/relationships/hyperlink" Target="https://www.diodes.com/assets/Datasheets/DMP2018LFK.pdf" TargetMode="External"/><Relationship Id="rId_hyperlink_1781" Type="http://schemas.openxmlformats.org/officeDocument/2006/relationships/hyperlink" Target="https://www.diodes.com/part/view/DMP2021UFDE" TargetMode="External"/><Relationship Id="rId_hyperlink_1782" Type="http://schemas.openxmlformats.org/officeDocument/2006/relationships/hyperlink" Target="https://www.diodes.com/assets/Datasheets/DMP2021UFDE.pdf" TargetMode="External"/><Relationship Id="rId_hyperlink_1783" Type="http://schemas.openxmlformats.org/officeDocument/2006/relationships/hyperlink" Target="https://www.diodes.com/part/view/DMP2021UFDF" TargetMode="External"/><Relationship Id="rId_hyperlink_1784" Type="http://schemas.openxmlformats.org/officeDocument/2006/relationships/hyperlink" Target="https://www.diodes.com/assets/Datasheets/DMP2021UFDF.pdf" TargetMode="External"/><Relationship Id="rId_hyperlink_1785" Type="http://schemas.openxmlformats.org/officeDocument/2006/relationships/hyperlink" Target="https://www.diodes.com/part/view/DMP2021UTS" TargetMode="External"/><Relationship Id="rId_hyperlink_1786" Type="http://schemas.openxmlformats.org/officeDocument/2006/relationships/hyperlink" Target="https://www.diodes.com/assets/Datasheets/DMP2021UTS.pdf" TargetMode="External"/><Relationship Id="rId_hyperlink_1787" Type="http://schemas.openxmlformats.org/officeDocument/2006/relationships/hyperlink" Target="https://www.diodes.com/part/view/DMP2021UTSQ" TargetMode="External"/><Relationship Id="rId_hyperlink_1788" Type="http://schemas.openxmlformats.org/officeDocument/2006/relationships/hyperlink" Target="https://www.diodes.com/assets/Datasheets/DMP2021UTSQ.pdf" TargetMode="External"/><Relationship Id="rId_hyperlink_1789" Type="http://schemas.openxmlformats.org/officeDocument/2006/relationships/hyperlink" Target="https://www.diodes.com/part/view/DMP2022LSS" TargetMode="External"/><Relationship Id="rId_hyperlink_1790" Type="http://schemas.openxmlformats.org/officeDocument/2006/relationships/hyperlink" Target="https://www.diodes.com/assets/Datasheets/ds31373.pdf" TargetMode="External"/><Relationship Id="rId_hyperlink_1791" Type="http://schemas.openxmlformats.org/officeDocument/2006/relationships/hyperlink" Target="https://www.diodes.com/part/view/DMP2022LSSQ" TargetMode="External"/><Relationship Id="rId_hyperlink_1792" Type="http://schemas.openxmlformats.org/officeDocument/2006/relationships/hyperlink" Target="https://www.diodes.com/assets/Datasheets/DMP2022LSSQ.pdf" TargetMode="External"/><Relationship Id="rId_hyperlink_1793" Type="http://schemas.openxmlformats.org/officeDocument/2006/relationships/hyperlink" Target="https://www.diodes.com/part/view/DMP2023UFDF" TargetMode="External"/><Relationship Id="rId_hyperlink_1794" Type="http://schemas.openxmlformats.org/officeDocument/2006/relationships/hyperlink" Target="https://www.diodes.com/assets/Datasheets/DMP2023UFDF.pdf" TargetMode="External"/><Relationship Id="rId_hyperlink_1795" Type="http://schemas.openxmlformats.org/officeDocument/2006/relationships/hyperlink" Target="https://www.diodes.com/part/view/DMP2033UVT" TargetMode="External"/><Relationship Id="rId_hyperlink_1796" Type="http://schemas.openxmlformats.org/officeDocument/2006/relationships/hyperlink" Target="https://www.diodes.com/assets/Datasheets/DMP2033UVT.pdf" TargetMode="External"/><Relationship Id="rId_hyperlink_1797" Type="http://schemas.openxmlformats.org/officeDocument/2006/relationships/hyperlink" Target="https://www.diodes.com/part/view/DMP2035U" TargetMode="External"/><Relationship Id="rId_hyperlink_1798" Type="http://schemas.openxmlformats.org/officeDocument/2006/relationships/hyperlink" Target="https://www.diodes.com/assets/Datasheets/DMP2035U.pdf" TargetMode="External"/><Relationship Id="rId_hyperlink_1799" Type="http://schemas.openxmlformats.org/officeDocument/2006/relationships/hyperlink" Target="https://www.diodes.com/part/view/DMP2035UFCL" TargetMode="External"/><Relationship Id="rId_hyperlink_1800" Type="http://schemas.openxmlformats.org/officeDocument/2006/relationships/hyperlink" Target="https://www.diodes.com/assets/Datasheets/DMP2035UFCL.pdf" TargetMode="External"/><Relationship Id="rId_hyperlink_1801" Type="http://schemas.openxmlformats.org/officeDocument/2006/relationships/hyperlink" Target="https://www.diodes.com/part/view/DMP2035UFDF" TargetMode="External"/><Relationship Id="rId_hyperlink_1802" Type="http://schemas.openxmlformats.org/officeDocument/2006/relationships/hyperlink" Target="https://www.diodes.com/assets/Datasheets/DMP2035UFDF.pdf" TargetMode="External"/><Relationship Id="rId_hyperlink_1803" Type="http://schemas.openxmlformats.org/officeDocument/2006/relationships/hyperlink" Target="https://www.diodes.com/part/view/DMP2035UTS" TargetMode="External"/><Relationship Id="rId_hyperlink_1804" Type="http://schemas.openxmlformats.org/officeDocument/2006/relationships/hyperlink" Target="https://www.diodes.com/assets/Datasheets/ds31940.pdf" TargetMode="External"/><Relationship Id="rId_hyperlink_1805" Type="http://schemas.openxmlformats.org/officeDocument/2006/relationships/hyperlink" Target="https://www.diodes.com/part/view/DMP2035UVT" TargetMode="External"/><Relationship Id="rId_hyperlink_1806" Type="http://schemas.openxmlformats.org/officeDocument/2006/relationships/hyperlink" Target="https://www.diodes.com/assets/Datasheets/DMP2035UVT.pdf" TargetMode="External"/><Relationship Id="rId_hyperlink_1807" Type="http://schemas.openxmlformats.org/officeDocument/2006/relationships/hyperlink" Target="https://www.diodes.com/part/view/DMP2035UVTQ" TargetMode="External"/><Relationship Id="rId_hyperlink_1808" Type="http://schemas.openxmlformats.org/officeDocument/2006/relationships/hyperlink" Target="https://www.diodes.com/assets/Datasheets/DMP2035UVTQ.pdf" TargetMode="External"/><Relationship Id="rId_hyperlink_1809" Type="http://schemas.openxmlformats.org/officeDocument/2006/relationships/hyperlink" Target="https://www.diodes.com/part/view/DMP2036UVT" TargetMode="External"/><Relationship Id="rId_hyperlink_1810" Type="http://schemas.openxmlformats.org/officeDocument/2006/relationships/hyperlink" Target="https://www.diodes.com/assets/Datasheets/DMP2036UVT.pdf" TargetMode="External"/><Relationship Id="rId_hyperlink_1811" Type="http://schemas.openxmlformats.org/officeDocument/2006/relationships/hyperlink" Target="https://www.diodes.com/part/view/DMP2036UVTQ" TargetMode="External"/><Relationship Id="rId_hyperlink_1812" Type="http://schemas.openxmlformats.org/officeDocument/2006/relationships/hyperlink" Target="https://www.diodes.com/assets/Datasheets/DMP2036UVTQ.pdf" TargetMode="External"/><Relationship Id="rId_hyperlink_1813" Type="http://schemas.openxmlformats.org/officeDocument/2006/relationships/hyperlink" Target="https://www.diodes.com/part/view/DMP2037U" TargetMode="External"/><Relationship Id="rId_hyperlink_1814" Type="http://schemas.openxmlformats.org/officeDocument/2006/relationships/hyperlink" Target="https://www.diodes.com/assets/Datasheets/DMP2037U.pdf" TargetMode="External"/><Relationship Id="rId_hyperlink_1815" Type="http://schemas.openxmlformats.org/officeDocument/2006/relationships/hyperlink" Target="https://www.diodes.com/part/view/DMP2037UFCL" TargetMode="External"/><Relationship Id="rId_hyperlink_1816" Type="http://schemas.openxmlformats.org/officeDocument/2006/relationships/hyperlink" Target="https://www.diodes.com/assets/Datasheets/DMP2037UFCL.pdf" TargetMode="External"/><Relationship Id="rId_hyperlink_1817" Type="http://schemas.openxmlformats.org/officeDocument/2006/relationships/hyperlink" Target="https://www.diodes.com/part/view/DMP2039UFDE" TargetMode="External"/><Relationship Id="rId_hyperlink_1818" Type="http://schemas.openxmlformats.org/officeDocument/2006/relationships/hyperlink" Target="https://www.diodes.com/assets/Datasheets/DMP2039UFDE.pdf" TargetMode="External"/><Relationship Id="rId_hyperlink_1819" Type="http://schemas.openxmlformats.org/officeDocument/2006/relationships/hyperlink" Target="https://www.diodes.com/part/view/DMP2039UFDE4" TargetMode="External"/><Relationship Id="rId_hyperlink_1820" Type="http://schemas.openxmlformats.org/officeDocument/2006/relationships/hyperlink" Target="https://www.diodes.com/assets/Datasheets/DMP2039UFDE4.pdf" TargetMode="External"/><Relationship Id="rId_hyperlink_1821" Type="http://schemas.openxmlformats.org/officeDocument/2006/relationships/hyperlink" Target="https://www.diodes.com/part/view/DMP2040UFDF" TargetMode="External"/><Relationship Id="rId_hyperlink_1822" Type="http://schemas.openxmlformats.org/officeDocument/2006/relationships/hyperlink" Target="https://www.diodes.com/assets/Datasheets/DMP2040UFDF.pdf" TargetMode="External"/><Relationship Id="rId_hyperlink_1823" Type="http://schemas.openxmlformats.org/officeDocument/2006/relationships/hyperlink" Target="https://www.diodes.com/part/view/DMP2040UND" TargetMode="External"/><Relationship Id="rId_hyperlink_1824" Type="http://schemas.openxmlformats.org/officeDocument/2006/relationships/hyperlink" Target="https://www.diodes.com/assets/Datasheets/DMP2040UND.pdf" TargetMode="External"/><Relationship Id="rId_hyperlink_1825" Type="http://schemas.openxmlformats.org/officeDocument/2006/relationships/hyperlink" Target="https://www.diodes.com/part/view/DMP2040USD" TargetMode="External"/><Relationship Id="rId_hyperlink_1826" Type="http://schemas.openxmlformats.org/officeDocument/2006/relationships/hyperlink" Target="https://www.diodes.com/assets/Datasheets/DMP2040USD.pdf" TargetMode="External"/><Relationship Id="rId_hyperlink_1827" Type="http://schemas.openxmlformats.org/officeDocument/2006/relationships/hyperlink" Target="https://www.diodes.com/part/view/DMP2040USS" TargetMode="External"/><Relationship Id="rId_hyperlink_1828" Type="http://schemas.openxmlformats.org/officeDocument/2006/relationships/hyperlink" Target="https://www.diodes.com/assets/Datasheets/DMP2040USS.pdf" TargetMode="External"/><Relationship Id="rId_hyperlink_1829" Type="http://schemas.openxmlformats.org/officeDocument/2006/relationships/hyperlink" Target="https://www.diodes.com/part/view/DMP2040UVT" TargetMode="External"/><Relationship Id="rId_hyperlink_1830" Type="http://schemas.openxmlformats.org/officeDocument/2006/relationships/hyperlink" Target="https://www.diodes.com/assets/Datasheets/DMP2040UVT.pdf" TargetMode="External"/><Relationship Id="rId_hyperlink_1831" Type="http://schemas.openxmlformats.org/officeDocument/2006/relationships/hyperlink" Target="https://www.diodes.com/part/view/DMP2040UVTQ" TargetMode="External"/><Relationship Id="rId_hyperlink_1832" Type="http://schemas.openxmlformats.org/officeDocument/2006/relationships/hyperlink" Target="https://www.diodes.com/assets/Datasheets/DMP2040UVTQ.pdf" TargetMode="External"/><Relationship Id="rId_hyperlink_1833" Type="http://schemas.openxmlformats.org/officeDocument/2006/relationships/hyperlink" Target="https://www.diodes.com/part/view/DMP2042UCP4" TargetMode="External"/><Relationship Id="rId_hyperlink_1834" Type="http://schemas.openxmlformats.org/officeDocument/2006/relationships/hyperlink" Target="https://www.diodes.com/assets/Datasheets/DMP2042UCP4.pdf" TargetMode="External"/><Relationship Id="rId_hyperlink_1835" Type="http://schemas.openxmlformats.org/officeDocument/2006/relationships/hyperlink" Target="https://www.diodes.com/part/view/DMP2043UCA3" TargetMode="External"/><Relationship Id="rId_hyperlink_1836" Type="http://schemas.openxmlformats.org/officeDocument/2006/relationships/hyperlink" Target="https://www.diodes.com/assets/Datasheets/DMP2043UCA3.pdf" TargetMode="External"/><Relationship Id="rId_hyperlink_1837" Type="http://schemas.openxmlformats.org/officeDocument/2006/relationships/hyperlink" Target="https://www.diodes.com/part/view/DMP2045U" TargetMode="External"/><Relationship Id="rId_hyperlink_1838" Type="http://schemas.openxmlformats.org/officeDocument/2006/relationships/hyperlink" Target="https://www.diodes.com/assets/Datasheets/DMP2045U.pdf" TargetMode="External"/><Relationship Id="rId_hyperlink_1839" Type="http://schemas.openxmlformats.org/officeDocument/2006/relationships/hyperlink" Target="https://www.diodes.com/part/view/DMP2045UFDB" TargetMode="External"/><Relationship Id="rId_hyperlink_1840" Type="http://schemas.openxmlformats.org/officeDocument/2006/relationships/hyperlink" Target="https://www.diodes.com/assets/Datasheets/DMP2045UFDB.pdf" TargetMode="External"/><Relationship Id="rId_hyperlink_1841" Type="http://schemas.openxmlformats.org/officeDocument/2006/relationships/hyperlink" Target="https://www.diodes.com/part/view/DMP2045UFY4" TargetMode="External"/><Relationship Id="rId_hyperlink_1842" Type="http://schemas.openxmlformats.org/officeDocument/2006/relationships/hyperlink" Target="https://www.diodes.com/assets/Datasheets/DMP2045UFY4.pdf" TargetMode="External"/><Relationship Id="rId_hyperlink_1843" Type="http://schemas.openxmlformats.org/officeDocument/2006/relationships/hyperlink" Target="https://www.diodes.com/part/view/DMP2045UQ" TargetMode="External"/><Relationship Id="rId_hyperlink_1844" Type="http://schemas.openxmlformats.org/officeDocument/2006/relationships/hyperlink" Target="https://www.diodes.com/assets/Datasheets/DMP2045UQ.pdf" TargetMode="External"/><Relationship Id="rId_hyperlink_1845" Type="http://schemas.openxmlformats.org/officeDocument/2006/relationships/hyperlink" Target="https://www.diodes.com/part/view/DMP2047UCB4" TargetMode="External"/><Relationship Id="rId_hyperlink_1846" Type="http://schemas.openxmlformats.org/officeDocument/2006/relationships/hyperlink" Target="https://www.diodes.com/assets/Datasheets/DMP2047UCB4.pdf" TargetMode="External"/><Relationship Id="rId_hyperlink_1847" Type="http://schemas.openxmlformats.org/officeDocument/2006/relationships/hyperlink" Target="https://www.diodes.com/part/view/DMP2056UCA4" TargetMode="External"/><Relationship Id="rId_hyperlink_1848" Type="http://schemas.openxmlformats.org/officeDocument/2006/relationships/hyperlink" Target="https://www.diodes.com/assets/Datasheets/DMP2056UCA4.pdf" TargetMode="External"/><Relationship Id="rId_hyperlink_1849" Type="http://schemas.openxmlformats.org/officeDocument/2006/relationships/hyperlink" Target="https://www.diodes.com/part/view/DMP2065U" TargetMode="External"/><Relationship Id="rId_hyperlink_1850" Type="http://schemas.openxmlformats.org/officeDocument/2006/relationships/hyperlink" Target="https://www.diodes.com/assets/Datasheets/DMP2065U.pdf" TargetMode="External"/><Relationship Id="rId_hyperlink_1851" Type="http://schemas.openxmlformats.org/officeDocument/2006/relationships/hyperlink" Target="https://www.diodes.com/part/view/DMP2065UFDB" TargetMode="External"/><Relationship Id="rId_hyperlink_1852" Type="http://schemas.openxmlformats.org/officeDocument/2006/relationships/hyperlink" Target="https://www.diodes.com/assets/Datasheets/DMP2065UFDB.pdf" TargetMode="External"/><Relationship Id="rId_hyperlink_1853" Type="http://schemas.openxmlformats.org/officeDocument/2006/relationships/hyperlink" Target="https://www.diodes.com/part/view/DMP2065UQ" TargetMode="External"/><Relationship Id="rId_hyperlink_1854" Type="http://schemas.openxmlformats.org/officeDocument/2006/relationships/hyperlink" Target="https://www.diodes.com/assets/Datasheets/DMP2065UQ.pdf" TargetMode="External"/><Relationship Id="rId_hyperlink_1855" Type="http://schemas.openxmlformats.org/officeDocument/2006/relationships/hyperlink" Target="https://www.diodes.com/part/view/DMP2066LSN" TargetMode="External"/><Relationship Id="rId_hyperlink_1856" Type="http://schemas.openxmlformats.org/officeDocument/2006/relationships/hyperlink" Target="https://www.diodes.com/assets/Datasheets/ds31467.pdf" TargetMode="External"/><Relationship Id="rId_hyperlink_1857" Type="http://schemas.openxmlformats.org/officeDocument/2006/relationships/hyperlink" Target="https://www.diodes.com/part/view/DMP2066LVT" TargetMode="External"/><Relationship Id="rId_hyperlink_1858" Type="http://schemas.openxmlformats.org/officeDocument/2006/relationships/hyperlink" Target="https://www.diodes.com/assets/Datasheets/products_inactive_data/DMP2066LVT.pdf" TargetMode="External"/><Relationship Id="rId_hyperlink_1859" Type="http://schemas.openxmlformats.org/officeDocument/2006/relationships/hyperlink" Target="https://www.diodes.com/part/view/DMP2066UFDE" TargetMode="External"/><Relationship Id="rId_hyperlink_1860" Type="http://schemas.openxmlformats.org/officeDocument/2006/relationships/hyperlink" Target="https://www.diodes.com/assets/Datasheets/DMP2066UFDE.pdf" TargetMode="External"/><Relationship Id="rId_hyperlink_1861" Type="http://schemas.openxmlformats.org/officeDocument/2006/relationships/hyperlink" Target="https://www.diodes.com/part/view/DMP2067LSS" TargetMode="External"/><Relationship Id="rId_hyperlink_1862" Type="http://schemas.openxmlformats.org/officeDocument/2006/relationships/hyperlink" Target="https://www.diodes.com/assets/Datasheets/DMP2067LSS.pdf" TargetMode="External"/><Relationship Id="rId_hyperlink_1863" Type="http://schemas.openxmlformats.org/officeDocument/2006/relationships/hyperlink" Target="https://www.diodes.com/part/view/DMP2067LVT" TargetMode="External"/><Relationship Id="rId_hyperlink_1864" Type="http://schemas.openxmlformats.org/officeDocument/2006/relationships/hyperlink" Target="https://www.diodes.com/assets/Datasheets/DMP2067LVT.pdf" TargetMode="External"/><Relationship Id="rId_hyperlink_1865" Type="http://schemas.openxmlformats.org/officeDocument/2006/relationships/hyperlink" Target="https://www.diodes.com/part/view/DMP2067LVTQ" TargetMode="External"/><Relationship Id="rId_hyperlink_1866" Type="http://schemas.openxmlformats.org/officeDocument/2006/relationships/hyperlink" Target="https://www.diodes.com/assets/Datasheets/DMP2067LVTQ.pdf" TargetMode="External"/><Relationship Id="rId_hyperlink_1867" Type="http://schemas.openxmlformats.org/officeDocument/2006/relationships/hyperlink" Target="https://www.diodes.com/part/view/DMP2069UFY4" TargetMode="External"/><Relationship Id="rId_hyperlink_1868" Type="http://schemas.openxmlformats.org/officeDocument/2006/relationships/hyperlink" Target="https://www.diodes.com/assets/Datasheets/ds31949.pdf" TargetMode="External"/><Relationship Id="rId_hyperlink_1869" Type="http://schemas.openxmlformats.org/officeDocument/2006/relationships/hyperlink" Target="https://www.diodes.com/part/view/DMP2069UFY4Q" TargetMode="External"/><Relationship Id="rId_hyperlink_1870" Type="http://schemas.openxmlformats.org/officeDocument/2006/relationships/hyperlink" Target="https://www.diodes.com/assets/Datasheets/DMP2069UFY4Q.pdf" TargetMode="External"/><Relationship Id="rId_hyperlink_1871" Type="http://schemas.openxmlformats.org/officeDocument/2006/relationships/hyperlink" Target="https://www.diodes.com/part/view/DMP2070U" TargetMode="External"/><Relationship Id="rId_hyperlink_1872" Type="http://schemas.openxmlformats.org/officeDocument/2006/relationships/hyperlink" Target="https://www.diodes.com/assets/Datasheets/DMP2070U.pdf" TargetMode="External"/><Relationship Id="rId_hyperlink_1873" Type="http://schemas.openxmlformats.org/officeDocument/2006/relationships/hyperlink" Target="https://www.diodes.com/part/view/DMP2070UQ" TargetMode="External"/><Relationship Id="rId_hyperlink_1874" Type="http://schemas.openxmlformats.org/officeDocument/2006/relationships/hyperlink" Target="https://www.diodes.com/assets/Datasheets/DMP2070UQ.pdf" TargetMode="External"/><Relationship Id="rId_hyperlink_1875" Type="http://schemas.openxmlformats.org/officeDocument/2006/relationships/hyperlink" Target="https://www.diodes.com/part/view/DMP2075UFDB" TargetMode="External"/><Relationship Id="rId_hyperlink_1876" Type="http://schemas.openxmlformats.org/officeDocument/2006/relationships/hyperlink" Target="https://www.diodes.com/assets/Datasheets/DMP2075UFDB.pdf" TargetMode="External"/><Relationship Id="rId_hyperlink_1877" Type="http://schemas.openxmlformats.org/officeDocument/2006/relationships/hyperlink" Target="https://www.diodes.com/part/view/DMP2075UVT" TargetMode="External"/><Relationship Id="rId_hyperlink_1878" Type="http://schemas.openxmlformats.org/officeDocument/2006/relationships/hyperlink" Target="https://www.diodes.com/assets/Datasheets/DMP2075UVT.pdf" TargetMode="External"/><Relationship Id="rId_hyperlink_1879" Type="http://schemas.openxmlformats.org/officeDocument/2006/relationships/hyperlink" Target="https://www.diodes.com/part/view/DMP2077UCA3" TargetMode="External"/><Relationship Id="rId_hyperlink_1880" Type="http://schemas.openxmlformats.org/officeDocument/2006/relationships/hyperlink" Target="https://www.diodes.com/assets/Datasheets/DMP2077UCA3.pdf" TargetMode="External"/><Relationship Id="rId_hyperlink_1881" Type="http://schemas.openxmlformats.org/officeDocument/2006/relationships/hyperlink" Target="https://www.diodes.com/part/view/DMP2078LCA3" TargetMode="External"/><Relationship Id="rId_hyperlink_1882" Type="http://schemas.openxmlformats.org/officeDocument/2006/relationships/hyperlink" Target="https://www.diodes.com/assets/Datasheets/DMP2078LCA3.pdf" TargetMode="External"/><Relationship Id="rId_hyperlink_1883" Type="http://schemas.openxmlformats.org/officeDocument/2006/relationships/hyperlink" Target="https://www.diodes.com/part/view/DMP2079LCA3" TargetMode="External"/><Relationship Id="rId_hyperlink_1884" Type="http://schemas.openxmlformats.org/officeDocument/2006/relationships/hyperlink" Target="https://www.diodes.com/assets/Datasheets/DMP2079LCA3.pdf" TargetMode="External"/><Relationship Id="rId_hyperlink_1885" Type="http://schemas.openxmlformats.org/officeDocument/2006/relationships/hyperlink" Target="https://www.diodes.com/part/view/DMP2090UFDB" TargetMode="External"/><Relationship Id="rId_hyperlink_1886" Type="http://schemas.openxmlformats.org/officeDocument/2006/relationships/hyperlink" Target="https://www.diodes.com/assets/Datasheets/DMP2090UFDB.pdf" TargetMode="External"/><Relationship Id="rId_hyperlink_1887" Type="http://schemas.openxmlformats.org/officeDocument/2006/relationships/hyperlink" Target="https://www.diodes.com/part/view/DMP2100UFU" TargetMode="External"/><Relationship Id="rId_hyperlink_1888" Type="http://schemas.openxmlformats.org/officeDocument/2006/relationships/hyperlink" Target="https://www.diodes.com/assets/Datasheets/DMP2100UFU.pdf" TargetMode="External"/><Relationship Id="rId_hyperlink_1889" Type="http://schemas.openxmlformats.org/officeDocument/2006/relationships/hyperlink" Target="https://www.diodes.com/part/view/DMP2101UCP9" TargetMode="External"/><Relationship Id="rId_hyperlink_1890" Type="http://schemas.openxmlformats.org/officeDocument/2006/relationships/hyperlink" Target="https://www.diodes.com/assets/Datasheets/DMP2101UCP9.pdf" TargetMode="External"/><Relationship Id="rId_hyperlink_1891" Type="http://schemas.openxmlformats.org/officeDocument/2006/relationships/hyperlink" Target="https://www.diodes.com/part/view/DMP2104LP" TargetMode="External"/><Relationship Id="rId_hyperlink_1892" Type="http://schemas.openxmlformats.org/officeDocument/2006/relationships/hyperlink" Target="https://www.diodes.com/assets/Datasheets/ds31091.pdf" TargetMode="External"/><Relationship Id="rId_hyperlink_1893" Type="http://schemas.openxmlformats.org/officeDocument/2006/relationships/hyperlink" Target="https://www.diodes.com/part/view/DMP2104V" TargetMode="External"/><Relationship Id="rId_hyperlink_1894" Type="http://schemas.openxmlformats.org/officeDocument/2006/relationships/hyperlink" Target="https://www.diodes.com/assets/Datasheets/ds30942.pdf" TargetMode="External"/><Relationship Id="rId_hyperlink_1895" Type="http://schemas.openxmlformats.org/officeDocument/2006/relationships/hyperlink" Target="https://www.diodes.com/part/view/DMP2109UVT" TargetMode="External"/><Relationship Id="rId_hyperlink_1896" Type="http://schemas.openxmlformats.org/officeDocument/2006/relationships/hyperlink" Target="https://www.diodes.com/assets/Datasheets/DMP2109UVT.pdf" TargetMode="External"/><Relationship Id="rId_hyperlink_1897" Type="http://schemas.openxmlformats.org/officeDocument/2006/relationships/hyperlink" Target="https://www.diodes.com/part/view/DMP2109UVTQ" TargetMode="External"/><Relationship Id="rId_hyperlink_1898" Type="http://schemas.openxmlformats.org/officeDocument/2006/relationships/hyperlink" Target="https://www.diodes.com/assets/Datasheets/DMP2109UVTQ.pdf" TargetMode="External"/><Relationship Id="rId_hyperlink_1899" Type="http://schemas.openxmlformats.org/officeDocument/2006/relationships/hyperlink" Target="https://www.diodes.com/part/view/DMP2110U" TargetMode="External"/><Relationship Id="rId_hyperlink_1900" Type="http://schemas.openxmlformats.org/officeDocument/2006/relationships/hyperlink" Target="https://www.diodes.com/assets/Datasheets/DMP2110U.pdf" TargetMode="External"/><Relationship Id="rId_hyperlink_1901" Type="http://schemas.openxmlformats.org/officeDocument/2006/relationships/hyperlink" Target="https://www.diodes.com/part/view/DMP2110UFDB" TargetMode="External"/><Relationship Id="rId_hyperlink_1902" Type="http://schemas.openxmlformats.org/officeDocument/2006/relationships/hyperlink" Target="https://www.diodes.com/assets/Datasheets/DMP2110UFDB.pdf" TargetMode="External"/><Relationship Id="rId_hyperlink_1903" Type="http://schemas.openxmlformats.org/officeDocument/2006/relationships/hyperlink" Target="https://www.diodes.com/part/view/DMP2110UFDBQ" TargetMode="External"/><Relationship Id="rId_hyperlink_1904" Type="http://schemas.openxmlformats.org/officeDocument/2006/relationships/hyperlink" Target="https://www.diodes.com/assets/Datasheets/DMP2110UFDBQ.pdf" TargetMode="External"/><Relationship Id="rId_hyperlink_1905" Type="http://schemas.openxmlformats.org/officeDocument/2006/relationships/hyperlink" Target="https://www.diodes.com/part/view/DMP2110UQ" TargetMode="External"/><Relationship Id="rId_hyperlink_1906" Type="http://schemas.openxmlformats.org/officeDocument/2006/relationships/hyperlink" Target="https://www.diodes.com/assets/Datasheets/DMP2110UQ.pdf" TargetMode="External"/><Relationship Id="rId_hyperlink_1907" Type="http://schemas.openxmlformats.org/officeDocument/2006/relationships/hyperlink" Target="https://www.diodes.com/part/view/DMP2110UVT" TargetMode="External"/><Relationship Id="rId_hyperlink_1908" Type="http://schemas.openxmlformats.org/officeDocument/2006/relationships/hyperlink" Target="https://www.diodes.com/assets/Datasheets/DMP2110UVT.pdf" TargetMode="External"/><Relationship Id="rId_hyperlink_1909" Type="http://schemas.openxmlformats.org/officeDocument/2006/relationships/hyperlink" Target="https://www.diodes.com/part/view/DMP2110UVTQ" TargetMode="External"/><Relationship Id="rId_hyperlink_1910" Type="http://schemas.openxmlformats.org/officeDocument/2006/relationships/hyperlink" Target="https://www.diodes.com/assets/Datasheets/DMP2110UVTQ.pdf" TargetMode="External"/><Relationship Id="rId_hyperlink_1911" Type="http://schemas.openxmlformats.org/officeDocument/2006/relationships/hyperlink" Target="https://www.diodes.com/part/view/DMP2110UW" TargetMode="External"/><Relationship Id="rId_hyperlink_1912" Type="http://schemas.openxmlformats.org/officeDocument/2006/relationships/hyperlink" Target="https://www.diodes.com/assets/Datasheets/DMP2110UW.pdf" TargetMode="External"/><Relationship Id="rId_hyperlink_1913" Type="http://schemas.openxmlformats.org/officeDocument/2006/relationships/hyperlink" Target="https://www.diodes.com/part/view/DMP2120U" TargetMode="External"/><Relationship Id="rId_hyperlink_1914" Type="http://schemas.openxmlformats.org/officeDocument/2006/relationships/hyperlink" Target="https://www.diodes.com/assets/Datasheets/DMP2120U.pdf" TargetMode="External"/><Relationship Id="rId_hyperlink_1915" Type="http://schemas.openxmlformats.org/officeDocument/2006/relationships/hyperlink" Target="https://www.diodes.com/part/view/DMP2123L" TargetMode="External"/><Relationship Id="rId_hyperlink_1916" Type="http://schemas.openxmlformats.org/officeDocument/2006/relationships/hyperlink" Target="https://www.diodes.com/assets/Datasheets/ds31440.pdf" TargetMode="External"/><Relationship Id="rId_hyperlink_1917" Type="http://schemas.openxmlformats.org/officeDocument/2006/relationships/hyperlink" Target="https://www.diodes.com/part/view/DMP2123LQ" TargetMode="External"/><Relationship Id="rId_hyperlink_1918" Type="http://schemas.openxmlformats.org/officeDocument/2006/relationships/hyperlink" Target="https://www.diodes.com/assets/Datasheets/DMP2123LQ.pdf" TargetMode="External"/><Relationship Id="rId_hyperlink_1919" Type="http://schemas.openxmlformats.org/officeDocument/2006/relationships/hyperlink" Target="https://www.diodes.com/part/view/DMP2130L" TargetMode="External"/><Relationship Id="rId_hyperlink_1920" Type="http://schemas.openxmlformats.org/officeDocument/2006/relationships/hyperlink" Target="https://www.diodes.com/assets/Datasheets/ds31346.pdf" TargetMode="External"/><Relationship Id="rId_hyperlink_1921" Type="http://schemas.openxmlformats.org/officeDocument/2006/relationships/hyperlink" Target="https://www.diodes.com/part/view/DMP2130LDM" TargetMode="External"/><Relationship Id="rId_hyperlink_1922" Type="http://schemas.openxmlformats.org/officeDocument/2006/relationships/hyperlink" Target="https://www.diodes.com/assets/Datasheets/ds31118.pdf" TargetMode="External"/><Relationship Id="rId_hyperlink_1923" Type="http://schemas.openxmlformats.org/officeDocument/2006/relationships/hyperlink" Target="https://www.diodes.com/part/view/DMP213DUFA" TargetMode="External"/><Relationship Id="rId_hyperlink_1924" Type="http://schemas.openxmlformats.org/officeDocument/2006/relationships/hyperlink" Target="https://www.diodes.com/assets/Datasheets/DMP213DUFA.pdf" TargetMode="External"/><Relationship Id="rId_hyperlink_1925" Type="http://schemas.openxmlformats.org/officeDocument/2006/relationships/hyperlink" Target="https://www.diodes.com/part/view/DMP2160UWQ" TargetMode="External"/><Relationship Id="rId_hyperlink_1926" Type="http://schemas.openxmlformats.org/officeDocument/2006/relationships/hyperlink" Target="https://www.diodes.com/assets/Datasheets/DMP2160UWQ.pdf" TargetMode="External"/><Relationship Id="rId_hyperlink_1927" Type="http://schemas.openxmlformats.org/officeDocument/2006/relationships/hyperlink" Target="https://www.diodes.com/part/view/DMP2165UW" TargetMode="External"/><Relationship Id="rId_hyperlink_1928" Type="http://schemas.openxmlformats.org/officeDocument/2006/relationships/hyperlink" Target="https://www.diodes.com/assets/Datasheets/DMP2165UW.pdf" TargetMode="External"/><Relationship Id="rId_hyperlink_1929" Type="http://schemas.openxmlformats.org/officeDocument/2006/relationships/hyperlink" Target="https://www.diodes.com/part/view/DMP2170U" TargetMode="External"/><Relationship Id="rId_hyperlink_1930" Type="http://schemas.openxmlformats.org/officeDocument/2006/relationships/hyperlink" Target="https://www.diodes.com/assets/Datasheets/DMP2170U.pdf" TargetMode="External"/><Relationship Id="rId_hyperlink_1931" Type="http://schemas.openxmlformats.org/officeDocument/2006/relationships/hyperlink" Target="https://www.diodes.com/part/view/DMP21D0UFB" TargetMode="External"/><Relationship Id="rId_hyperlink_1932" Type="http://schemas.openxmlformats.org/officeDocument/2006/relationships/hyperlink" Target="https://www.diodes.com/assets/Datasheets/DMP21D0UFB.pdf" TargetMode="External"/><Relationship Id="rId_hyperlink_1933" Type="http://schemas.openxmlformats.org/officeDocument/2006/relationships/hyperlink" Target="https://www.diodes.com/part/view/DMP21D0UFB4" TargetMode="External"/><Relationship Id="rId_hyperlink_1934" Type="http://schemas.openxmlformats.org/officeDocument/2006/relationships/hyperlink" Target="https://www.diodes.com/assets/Datasheets/DMP21D0UFB4.pdf" TargetMode="External"/><Relationship Id="rId_hyperlink_1935" Type="http://schemas.openxmlformats.org/officeDocument/2006/relationships/hyperlink" Target="https://www.diodes.com/part/view/DMP21D0UFD" TargetMode="External"/><Relationship Id="rId_hyperlink_1936" Type="http://schemas.openxmlformats.org/officeDocument/2006/relationships/hyperlink" Target="https://www.diodes.com/assets/Datasheets/DMP21D0UFD.pdf" TargetMode="External"/><Relationship Id="rId_hyperlink_1937" Type="http://schemas.openxmlformats.org/officeDocument/2006/relationships/hyperlink" Target="https://www.diodes.com/part/view/DMP21D0UT" TargetMode="External"/><Relationship Id="rId_hyperlink_1938" Type="http://schemas.openxmlformats.org/officeDocument/2006/relationships/hyperlink" Target="https://www.diodes.com/assets/Datasheets/DMP21D0UT.pdf" TargetMode="External"/><Relationship Id="rId_hyperlink_1939" Type="http://schemas.openxmlformats.org/officeDocument/2006/relationships/hyperlink" Target="https://www.diodes.com/part/view/DMP21D1UT" TargetMode="External"/><Relationship Id="rId_hyperlink_1940" Type="http://schemas.openxmlformats.org/officeDocument/2006/relationships/hyperlink" Target="https://www.diodes.com/assets/Datasheets/DMP21D1UT.pdf" TargetMode="External"/><Relationship Id="rId_hyperlink_1941" Type="http://schemas.openxmlformats.org/officeDocument/2006/relationships/hyperlink" Target="https://www.diodes.com/part/view/DMP21D1UTQ" TargetMode="External"/><Relationship Id="rId_hyperlink_1942" Type="http://schemas.openxmlformats.org/officeDocument/2006/relationships/hyperlink" Target="https://www.diodes.com/assets/Datasheets/DMP21D1UTQ.pdf" TargetMode="External"/><Relationship Id="rId_hyperlink_1943" Type="http://schemas.openxmlformats.org/officeDocument/2006/relationships/hyperlink" Target="https://www.diodes.com/part/view/DMP21D2UFA" TargetMode="External"/><Relationship Id="rId_hyperlink_1944" Type="http://schemas.openxmlformats.org/officeDocument/2006/relationships/hyperlink" Target="https://www.diodes.com/assets/Datasheets/DMP21D2UFA.pdf" TargetMode="External"/><Relationship Id="rId_hyperlink_1945" Type="http://schemas.openxmlformats.org/officeDocument/2006/relationships/hyperlink" Target="https://www.diodes.com/part/view/DMP21D5UFB4" TargetMode="External"/><Relationship Id="rId_hyperlink_1946" Type="http://schemas.openxmlformats.org/officeDocument/2006/relationships/hyperlink" Target="https://www.diodes.com/assets/Datasheets/DMP21D5UFB4.pdf" TargetMode="External"/><Relationship Id="rId_hyperlink_1947" Type="http://schemas.openxmlformats.org/officeDocument/2006/relationships/hyperlink" Target="https://www.diodes.com/part/view/DMP21D6UFB4" TargetMode="External"/><Relationship Id="rId_hyperlink_1948" Type="http://schemas.openxmlformats.org/officeDocument/2006/relationships/hyperlink" Target="https://www.diodes.com/assets/Datasheets/DMP21D6UFB4.pdf" TargetMode="External"/><Relationship Id="rId_hyperlink_1949" Type="http://schemas.openxmlformats.org/officeDocument/2006/relationships/hyperlink" Target="https://www.diodes.com/part/view/DMP21D6UFD" TargetMode="External"/><Relationship Id="rId_hyperlink_1950" Type="http://schemas.openxmlformats.org/officeDocument/2006/relationships/hyperlink" Target="https://www.diodes.com/assets/Datasheets/DMP21D6UFD.pdf" TargetMode="External"/><Relationship Id="rId_hyperlink_1951" Type="http://schemas.openxmlformats.org/officeDocument/2006/relationships/hyperlink" Target="https://www.diodes.com/part/view/DMP2200UDW" TargetMode="External"/><Relationship Id="rId_hyperlink_1952" Type="http://schemas.openxmlformats.org/officeDocument/2006/relationships/hyperlink" Target="https://www.diodes.com/assets/Datasheets/DMP2200UDW.pdf" TargetMode="External"/><Relationship Id="rId_hyperlink_1953" Type="http://schemas.openxmlformats.org/officeDocument/2006/relationships/hyperlink" Target="https://www.diodes.com/part/view/DMP2200UFCL" TargetMode="External"/><Relationship Id="rId_hyperlink_1954" Type="http://schemas.openxmlformats.org/officeDocument/2006/relationships/hyperlink" Target="https://www.diodes.com/assets/Datasheets/DMP2200UFCL.pdf" TargetMode="External"/><Relationship Id="rId_hyperlink_1955" Type="http://schemas.openxmlformats.org/officeDocument/2006/relationships/hyperlink" Target="https://www.diodes.com/part/view/DMP2240UDM" TargetMode="External"/><Relationship Id="rId_hyperlink_1956" Type="http://schemas.openxmlformats.org/officeDocument/2006/relationships/hyperlink" Target="https://www.diodes.com/assets/Datasheets/ds31197.pdf" TargetMode="External"/><Relationship Id="rId_hyperlink_1957" Type="http://schemas.openxmlformats.org/officeDocument/2006/relationships/hyperlink" Target="https://www.diodes.com/part/view/DMP2240UW" TargetMode="External"/><Relationship Id="rId_hyperlink_1958" Type="http://schemas.openxmlformats.org/officeDocument/2006/relationships/hyperlink" Target="https://www.diodes.com/assets/Datasheets/ds31372.pdf" TargetMode="External"/><Relationship Id="rId_hyperlink_1959" Type="http://schemas.openxmlformats.org/officeDocument/2006/relationships/hyperlink" Target="https://www.diodes.com/part/view/DMP2240UWQ" TargetMode="External"/><Relationship Id="rId_hyperlink_1960" Type="http://schemas.openxmlformats.org/officeDocument/2006/relationships/hyperlink" Target="https://www.diodes.com/assets/Datasheets/DMP2240UWQ.pdf" TargetMode="External"/><Relationship Id="rId_hyperlink_1961" Type="http://schemas.openxmlformats.org/officeDocument/2006/relationships/hyperlink" Target="https://www.diodes.com/part/view/DMP22D4UDA" TargetMode="External"/><Relationship Id="rId_hyperlink_1962" Type="http://schemas.openxmlformats.org/officeDocument/2006/relationships/hyperlink" Target="https://www.diodes.com/assets/Datasheets/DMP22D4UDA.pdf" TargetMode="External"/><Relationship Id="rId_hyperlink_1963" Type="http://schemas.openxmlformats.org/officeDocument/2006/relationships/hyperlink" Target="https://www.diodes.com/part/view/DMP22D4UFA" TargetMode="External"/><Relationship Id="rId_hyperlink_1964" Type="http://schemas.openxmlformats.org/officeDocument/2006/relationships/hyperlink" Target="https://www.diodes.com/assets/Datasheets/DMP22D4UFA.pdf" TargetMode="External"/><Relationship Id="rId_hyperlink_1965" Type="http://schemas.openxmlformats.org/officeDocument/2006/relationships/hyperlink" Target="https://www.diodes.com/part/view/DMP22D4UFO" TargetMode="External"/><Relationship Id="rId_hyperlink_1966" Type="http://schemas.openxmlformats.org/officeDocument/2006/relationships/hyperlink" Target="https://www.diodes.com/assets/Datasheets/DMP22D4UFO.pdf" TargetMode="External"/><Relationship Id="rId_hyperlink_1967" Type="http://schemas.openxmlformats.org/officeDocument/2006/relationships/hyperlink" Target="https://www.diodes.com/part/view/DMP22D5UDA" TargetMode="External"/><Relationship Id="rId_hyperlink_1968" Type="http://schemas.openxmlformats.org/officeDocument/2006/relationships/hyperlink" Target="https://www.diodes.com/assets/Datasheets/DMP22D5UDA.pdf" TargetMode="External"/><Relationship Id="rId_hyperlink_1969" Type="http://schemas.openxmlformats.org/officeDocument/2006/relationships/hyperlink" Target="https://www.diodes.com/part/view/DMP22D5UDJ" TargetMode="External"/><Relationship Id="rId_hyperlink_1970" Type="http://schemas.openxmlformats.org/officeDocument/2006/relationships/hyperlink" Target="https://www.diodes.com/assets/Datasheets/DMP22D5UDJ.pdf" TargetMode="External"/><Relationship Id="rId_hyperlink_1971" Type="http://schemas.openxmlformats.org/officeDocument/2006/relationships/hyperlink" Target="https://www.diodes.com/part/view/DMP22D5UDR4" TargetMode="External"/><Relationship Id="rId_hyperlink_1972" Type="http://schemas.openxmlformats.org/officeDocument/2006/relationships/hyperlink" Target="https://www.diodes.com/assets/Datasheets/DMP22D5UDR4.pdf" TargetMode="External"/><Relationship Id="rId_hyperlink_1973" Type="http://schemas.openxmlformats.org/officeDocument/2006/relationships/hyperlink" Target="https://www.diodes.com/part/view/DMP22D5UFA" TargetMode="External"/><Relationship Id="rId_hyperlink_1974" Type="http://schemas.openxmlformats.org/officeDocument/2006/relationships/hyperlink" Target="https://www.diodes.com/assets/Datasheets/DMP22D5UFA.pdf" TargetMode="External"/><Relationship Id="rId_hyperlink_1975" Type="http://schemas.openxmlformats.org/officeDocument/2006/relationships/hyperlink" Target="https://www.diodes.com/part/view/DMP22D5UFB4" TargetMode="External"/><Relationship Id="rId_hyperlink_1976" Type="http://schemas.openxmlformats.org/officeDocument/2006/relationships/hyperlink" Target="https://www.diodes.com/assets/Datasheets/DMP22D5UFB4.pdf" TargetMode="External"/><Relationship Id="rId_hyperlink_1977" Type="http://schemas.openxmlformats.org/officeDocument/2006/relationships/hyperlink" Target="https://www.diodes.com/part/view/DMP22D5UFB4Q" TargetMode="External"/><Relationship Id="rId_hyperlink_1978" Type="http://schemas.openxmlformats.org/officeDocument/2006/relationships/hyperlink" Target="https://www.diodes.com/assets/Datasheets/DMP22D5UFB4Q.pdf" TargetMode="External"/><Relationship Id="rId_hyperlink_1979" Type="http://schemas.openxmlformats.org/officeDocument/2006/relationships/hyperlink" Target="https://www.diodes.com/part/view/DMP22D5UFO" TargetMode="External"/><Relationship Id="rId_hyperlink_1980" Type="http://schemas.openxmlformats.org/officeDocument/2006/relationships/hyperlink" Target="https://www.diodes.com/assets/Datasheets/DMP22D5UFO.pdf" TargetMode="External"/><Relationship Id="rId_hyperlink_1981" Type="http://schemas.openxmlformats.org/officeDocument/2006/relationships/hyperlink" Target="https://www.diodes.com/part/view/DMP22D5UFZ" TargetMode="External"/><Relationship Id="rId_hyperlink_1982" Type="http://schemas.openxmlformats.org/officeDocument/2006/relationships/hyperlink" Target="https://www.diodes.com/assets/Datasheets/DMP22D5UFZ.pdf" TargetMode="External"/><Relationship Id="rId_hyperlink_1983" Type="http://schemas.openxmlformats.org/officeDocument/2006/relationships/hyperlink" Target="https://www.diodes.com/part/view/DMP22D6UFB4" TargetMode="External"/><Relationship Id="rId_hyperlink_1984" Type="http://schemas.openxmlformats.org/officeDocument/2006/relationships/hyperlink" Target="https://www.diodes.com/assets/Datasheets/DMP22D6UFB4.pdf" TargetMode="External"/><Relationship Id="rId_hyperlink_1985" Type="http://schemas.openxmlformats.org/officeDocument/2006/relationships/hyperlink" Target="https://www.diodes.com/part/view/DMP22D6UFB4Q" TargetMode="External"/><Relationship Id="rId_hyperlink_1986" Type="http://schemas.openxmlformats.org/officeDocument/2006/relationships/hyperlink" Target="https://www.diodes.com/assets/Datasheets/DMP22D6UFB4Q.pdf" TargetMode="External"/><Relationship Id="rId_hyperlink_1987" Type="http://schemas.openxmlformats.org/officeDocument/2006/relationships/hyperlink" Target="https://www.diodes.com/part/view/DMP22D6UT" TargetMode="External"/><Relationship Id="rId_hyperlink_1988" Type="http://schemas.openxmlformats.org/officeDocument/2006/relationships/hyperlink" Target="https://www.diodes.com/assets/Datasheets/ds31585.pdf" TargetMode="External"/><Relationship Id="rId_hyperlink_1989" Type="http://schemas.openxmlformats.org/officeDocument/2006/relationships/hyperlink" Target="https://www.diodes.com/part/view/DMP22M1UPSW" TargetMode="External"/><Relationship Id="rId_hyperlink_1990" Type="http://schemas.openxmlformats.org/officeDocument/2006/relationships/hyperlink" Target="https://www.diodes.com/assets/Datasheets/DMP22M1UPSW.pdf" TargetMode="External"/><Relationship Id="rId_hyperlink_1991" Type="http://schemas.openxmlformats.org/officeDocument/2006/relationships/hyperlink" Target="https://www.diodes.com/part/view/DMP22M2UPS" TargetMode="External"/><Relationship Id="rId_hyperlink_1992" Type="http://schemas.openxmlformats.org/officeDocument/2006/relationships/hyperlink" Target="https://www.diodes.com/assets/Datasheets/DMP22M2UPS.pdf" TargetMode="External"/><Relationship Id="rId_hyperlink_1993" Type="http://schemas.openxmlformats.org/officeDocument/2006/relationships/hyperlink" Target="https://www.diodes.com/part/view/DMP2305U" TargetMode="External"/><Relationship Id="rId_hyperlink_1994" Type="http://schemas.openxmlformats.org/officeDocument/2006/relationships/hyperlink" Target="https://www.diodes.com/assets/Datasheets/DMP2305U.pdf" TargetMode="External"/><Relationship Id="rId_hyperlink_1995" Type="http://schemas.openxmlformats.org/officeDocument/2006/relationships/hyperlink" Target="https://www.diodes.com/part/view/DMP2305UVT" TargetMode="External"/><Relationship Id="rId_hyperlink_1996" Type="http://schemas.openxmlformats.org/officeDocument/2006/relationships/hyperlink" Target="https://www.diodes.com/assets/Datasheets/DMP2305UVT.pdf" TargetMode="External"/><Relationship Id="rId_hyperlink_1997" Type="http://schemas.openxmlformats.org/officeDocument/2006/relationships/hyperlink" Target="https://www.diodes.com/part/view/DMP2541UCP9" TargetMode="External"/><Relationship Id="rId_hyperlink_1998" Type="http://schemas.openxmlformats.org/officeDocument/2006/relationships/hyperlink" Target="https://www.diodes.com/assets/Datasheets/DMP2541UCP9.pdf" TargetMode="External"/><Relationship Id="rId_hyperlink_1999" Type="http://schemas.openxmlformats.org/officeDocument/2006/relationships/hyperlink" Target="https://www.diodes.com/part/view/DMP25H18DLFDE" TargetMode="External"/><Relationship Id="rId_hyperlink_2000" Type="http://schemas.openxmlformats.org/officeDocument/2006/relationships/hyperlink" Target="https://www.diodes.com/assets/Datasheets/DMP25H18DLFDE.pdf" TargetMode="External"/><Relationship Id="rId_hyperlink_2001" Type="http://schemas.openxmlformats.org/officeDocument/2006/relationships/hyperlink" Target="https://www.diodes.com/part/view/DMP26M1UFG" TargetMode="External"/><Relationship Id="rId_hyperlink_2002" Type="http://schemas.openxmlformats.org/officeDocument/2006/relationships/hyperlink" Target="https://www.diodes.com/assets/Datasheets/DMP26M1UFG.pdf" TargetMode="External"/><Relationship Id="rId_hyperlink_2003" Type="http://schemas.openxmlformats.org/officeDocument/2006/relationships/hyperlink" Target="https://www.diodes.com/part/view/DMP26M1UPS" TargetMode="External"/><Relationship Id="rId_hyperlink_2004" Type="http://schemas.openxmlformats.org/officeDocument/2006/relationships/hyperlink" Target="https://www.diodes.com/assets/Datasheets/DMP26M1UPS.pdf" TargetMode="External"/><Relationship Id="rId_hyperlink_2005" Type="http://schemas.openxmlformats.org/officeDocument/2006/relationships/hyperlink" Target="https://www.diodes.com/part/view/DMP26M1UPSW" TargetMode="External"/><Relationship Id="rId_hyperlink_2006" Type="http://schemas.openxmlformats.org/officeDocument/2006/relationships/hyperlink" Target="https://www.diodes.com/assets/Datasheets/DMP26M1UPSW.pdf" TargetMode="External"/><Relationship Id="rId_hyperlink_2007" Type="http://schemas.openxmlformats.org/officeDocument/2006/relationships/hyperlink" Target="https://www.diodes.com/part/view/DMP26M1UPSWQ" TargetMode="External"/><Relationship Id="rId_hyperlink_2008" Type="http://schemas.openxmlformats.org/officeDocument/2006/relationships/hyperlink" Target="https://www.diodes.com/assets/Datasheets/DMP26M1UPSWQ.pdf" TargetMode="External"/><Relationship Id="rId_hyperlink_2009" Type="http://schemas.openxmlformats.org/officeDocument/2006/relationships/hyperlink" Target="https://www.diodes.com/part/view/DMP26M7UFG" TargetMode="External"/><Relationship Id="rId_hyperlink_2010" Type="http://schemas.openxmlformats.org/officeDocument/2006/relationships/hyperlink" Target="https://www.diodes.com/assets/Datasheets/DMP26M7UFG.pdf" TargetMode="External"/><Relationship Id="rId_hyperlink_2011" Type="http://schemas.openxmlformats.org/officeDocument/2006/relationships/hyperlink" Target="https://www.diodes.com/part/view/DMP27M1UPSW" TargetMode="External"/><Relationship Id="rId_hyperlink_2012" Type="http://schemas.openxmlformats.org/officeDocument/2006/relationships/hyperlink" Target="https://www.diodes.com/assets/Datasheets/DMP27M1UPSW.pdf" TargetMode="External"/><Relationship Id="rId_hyperlink_2013" Type="http://schemas.openxmlformats.org/officeDocument/2006/relationships/hyperlink" Target="https://www.diodes.com/part/view/DMP27M1UPSWQ" TargetMode="External"/><Relationship Id="rId_hyperlink_2014" Type="http://schemas.openxmlformats.org/officeDocument/2006/relationships/hyperlink" Target="https://www.diodes.com/assets/Datasheets/DMP27M1UPSWQ.pdf" TargetMode="External"/><Relationship Id="rId_hyperlink_2015" Type="http://schemas.openxmlformats.org/officeDocument/2006/relationships/hyperlink" Target="https://www.diodes.com/part/view/DMP2900UDW" TargetMode="External"/><Relationship Id="rId_hyperlink_2016" Type="http://schemas.openxmlformats.org/officeDocument/2006/relationships/hyperlink" Target="https://www.diodes.com/assets/Datasheets/DMP2900UDW.pdf" TargetMode="External"/><Relationship Id="rId_hyperlink_2017" Type="http://schemas.openxmlformats.org/officeDocument/2006/relationships/hyperlink" Target="https://www.diodes.com/part/view/DMP2900UDWQ" TargetMode="External"/><Relationship Id="rId_hyperlink_2018" Type="http://schemas.openxmlformats.org/officeDocument/2006/relationships/hyperlink" Target="https://www.diodes.com/assets/Datasheets/DMP2900UDWQ.pdf" TargetMode="External"/><Relationship Id="rId_hyperlink_2019" Type="http://schemas.openxmlformats.org/officeDocument/2006/relationships/hyperlink" Target="https://www.diodes.com/part/view/DMP2900UFB" TargetMode="External"/><Relationship Id="rId_hyperlink_2020" Type="http://schemas.openxmlformats.org/officeDocument/2006/relationships/hyperlink" Target="https://www.diodes.com/assets/Datasheets/DMP2900UFB.pdf" TargetMode="External"/><Relationship Id="rId_hyperlink_2021" Type="http://schemas.openxmlformats.org/officeDocument/2006/relationships/hyperlink" Target="https://www.diodes.com/part/view/DMP2900UFBQ" TargetMode="External"/><Relationship Id="rId_hyperlink_2022" Type="http://schemas.openxmlformats.org/officeDocument/2006/relationships/hyperlink" Target="https://www.diodes.com/assets/Datasheets/DMP2900UFBQ.pdf" TargetMode="External"/><Relationship Id="rId_hyperlink_2023" Type="http://schemas.openxmlformats.org/officeDocument/2006/relationships/hyperlink" Target="https://www.diodes.com/part/view/DMP2900UT" TargetMode="External"/><Relationship Id="rId_hyperlink_2024" Type="http://schemas.openxmlformats.org/officeDocument/2006/relationships/hyperlink" Target="https://www.diodes.com/assets/Datasheets/DMP2900UT.pdf" TargetMode="External"/><Relationship Id="rId_hyperlink_2025" Type="http://schemas.openxmlformats.org/officeDocument/2006/relationships/hyperlink" Target="https://www.diodes.com/part/view/DMP2900UTQ" TargetMode="External"/><Relationship Id="rId_hyperlink_2026" Type="http://schemas.openxmlformats.org/officeDocument/2006/relationships/hyperlink" Target="https://www.diodes.com/assets/Datasheets/DMP2900UTQ.pdf" TargetMode="External"/><Relationship Id="rId_hyperlink_2027" Type="http://schemas.openxmlformats.org/officeDocument/2006/relationships/hyperlink" Target="https://www.diodes.com/part/view/DMP2900UV" TargetMode="External"/><Relationship Id="rId_hyperlink_2028" Type="http://schemas.openxmlformats.org/officeDocument/2006/relationships/hyperlink" Target="https://www.diodes.com/assets/Datasheets/DMP2900UV.pdf" TargetMode="External"/><Relationship Id="rId_hyperlink_2029" Type="http://schemas.openxmlformats.org/officeDocument/2006/relationships/hyperlink" Target="https://www.diodes.com/part/view/DMP2900UVQ" TargetMode="External"/><Relationship Id="rId_hyperlink_2030" Type="http://schemas.openxmlformats.org/officeDocument/2006/relationships/hyperlink" Target="https://www.diodes.com/assets/Datasheets/DMP2900UVQ.pdf" TargetMode="External"/><Relationship Id="rId_hyperlink_2031" Type="http://schemas.openxmlformats.org/officeDocument/2006/relationships/hyperlink" Target="https://www.diodes.com/part/view/DMP2900UW" TargetMode="External"/><Relationship Id="rId_hyperlink_2032" Type="http://schemas.openxmlformats.org/officeDocument/2006/relationships/hyperlink" Target="https://www.diodes.com/assets/Datasheets/DMP2900UW.pdf" TargetMode="External"/><Relationship Id="rId_hyperlink_2033" Type="http://schemas.openxmlformats.org/officeDocument/2006/relationships/hyperlink" Target="https://www.diodes.com/part/view/DMP2900UWQ" TargetMode="External"/><Relationship Id="rId_hyperlink_2034" Type="http://schemas.openxmlformats.org/officeDocument/2006/relationships/hyperlink" Target="https://www.diodes.com/assets/Datasheets/DMP2900UWQ.pdf" TargetMode="External"/><Relationship Id="rId_hyperlink_2035" Type="http://schemas.openxmlformats.org/officeDocument/2006/relationships/hyperlink" Target="https://www.diodes.com/part/view/DMP3004SSS" TargetMode="External"/><Relationship Id="rId_hyperlink_2036" Type="http://schemas.openxmlformats.org/officeDocument/2006/relationships/hyperlink" Target="https://www.diodes.com/assets/Datasheets/DMP3004SSS.pdf" TargetMode="External"/><Relationship Id="rId_hyperlink_2037" Type="http://schemas.openxmlformats.org/officeDocument/2006/relationships/hyperlink" Target="https://www.diodes.com/part/view/DMP3006LPSW" TargetMode="External"/><Relationship Id="rId_hyperlink_2038" Type="http://schemas.openxmlformats.org/officeDocument/2006/relationships/hyperlink" Target="https://www.diodes.com/assets/Datasheets/DMP3006LPSW.pdf" TargetMode="External"/><Relationship Id="rId_hyperlink_2039" Type="http://schemas.openxmlformats.org/officeDocument/2006/relationships/hyperlink" Target="https://www.diodes.com/part/view/DMP3006LPSWQ" TargetMode="External"/><Relationship Id="rId_hyperlink_2040" Type="http://schemas.openxmlformats.org/officeDocument/2006/relationships/hyperlink" Target="https://www.diodes.com/assets/Datasheets/DMP3006LPSWQ.pdf" TargetMode="External"/><Relationship Id="rId_hyperlink_2041" Type="http://schemas.openxmlformats.org/officeDocument/2006/relationships/hyperlink" Target="https://www.diodes.com/part/view/DMP3007LK3" TargetMode="External"/><Relationship Id="rId_hyperlink_2042" Type="http://schemas.openxmlformats.org/officeDocument/2006/relationships/hyperlink" Target="https://www.diodes.com/assets/Datasheets/DMP3007LK3.pdf" TargetMode="External"/><Relationship Id="rId_hyperlink_2043" Type="http://schemas.openxmlformats.org/officeDocument/2006/relationships/hyperlink" Target="https://www.diodes.com/part/view/DMP3007LK3Q" TargetMode="External"/><Relationship Id="rId_hyperlink_2044" Type="http://schemas.openxmlformats.org/officeDocument/2006/relationships/hyperlink" Target="https://www.diodes.com/assets/Datasheets/DMP3007LK3Q.pdf" TargetMode="External"/><Relationship Id="rId_hyperlink_2045" Type="http://schemas.openxmlformats.org/officeDocument/2006/relationships/hyperlink" Target="https://www.diodes.com/part/view/DMP3007LSS" TargetMode="External"/><Relationship Id="rId_hyperlink_2046" Type="http://schemas.openxmlformats.org/officeDocument/2006/relationships/hyperlink" Target="https://www.diodes.com/assets/Datasheets/DMP3007LSS.pdf" TargetMode="External"/><Relationship Id="rId_hyperlink_2047" Type="http://schemas.openxmlformats.org/officeDocument/2006/relationships/hyperlink" Target="https://www.diodes.com/part/view/DMP3007SCG" TargetMode="External"/><Relationship Id="rId_hyperlink_2048" Type="http://schemas.openxmlformats.org/officeDocument/2006/relationships/hyperlink" Target="https://www.diodes.com/assets/Datasheets/DMP3007SCG.pdf" TargetMode="External"/><Relationship Id="rId_hyperlink_2049" Type="http://schemas.openxmlformats.org/officeDocument/2006/relationships/hyperlink" Target="https://www.diodes.com/part/view/DMP3007SCGQ" TargetMode="External"/><Relationship Id="rId_hyperlink_2050" Type="http://schemas.openxmlformats.org/officeDocument/2006/relationships/hyperlink" Target="https://www.diodes.com/assets/Datasheets/DMP3007SCGQ.pdf" TargetMode="External"/><Relationship Id="rId_hyperlink_2051" Type="http://schemas.openxmlformats.org/officeDocument/2006/relationships/hyperlink" Target="https://www.diodes.com/part/view/DMP3007SFG" TargetMode="External"/><Relationship Id="rId_hyperlink_2052" Type="http://schemas.openxmlformats.org/officeDocument/2006/relationships/hyperlink" Target="https://www.diodes.com/assets/Datasheets/DMP3007SFG.pdf" TargetMode="External"/><Relationship Id="rId_hyperlink_2053" Type="http://schemas.openxmlformats.org/officeDocument/2006/relationships/hyperlink" Target="https://www.diodes.com/part/view/DMP3007SPS" TargetMode="External"/><Relationship Id="rId_hyperlink_2054" Type="http://schemas.openxmlformats.org/officeDocument/2006/relationships/hyperlink" Target="https://www.diodes.com/assets/Datasheets/DMP3007SPS.pdf" TargetMode="External"/><Relationship Id="rId_hyperlink_2055" Type="http://schemas.openxmlformats.org/officeDocument/2006/relationships/hyperlink" Target="https://www.diodes.com/part/view/DMP3007SPSQ" TargetMode="External"/><Relationship Id="rId_hyperlink_2056" Type="http://schemas.openxmlformats.org/officeDocument/2006/relationships/hyperlink" Target="https://www.diodes.com/assets/Datasheets/DMP3007SPSQ.pdf" TargetMode="External"/><Relationship Id="rId_hyperlink_2057" Type="http://schemas.openxmlformats.org/officeDocument/2006/relationships/hyperlink" Target="https://www.diodes.com/part/view/DMP3008SFGQ" TargetMode="External"/><Relationship Id="rId_hyperlink_2058" Type="http://schemas.openxmlformats.org/officeDocument/2006/relationships/hyperlink" Target="https://www.diodes.com/assets/Datasheets/DMP3008SFGQ.pdf" TargetMode="External"/><Relationship Id="rId_hyperlink_2059" Type="http://schemas.openxmlformats.org/officeDocument/2006/relationships/hyperlink" Target="https://www.diodes.com/part/view/DMP3011SFK" TargetMode="External"/><Relationship Id="rId_hyperlink_2060" Type="http://schemas.openxmlformats.org/officeDocument/2006/relationships/hyperlink" Target="https://www.diodes.com/assets/Datasheets/DMP3011SFK.pdf" TargetMode="External"/><Relationship Id="rId_hyperlink_2061" Type="http://schemas.openxmlformats.org/officeDocument/2006/relationships/hyperlink" Target="https://www.diodes.com/part/view/DMP3011SFVW" TargetMode="External"/><Relationship Id="rId_hyperlink_2062" Type="http://schemas.openxmlformats.org/officeDocument/2006/relationships/hyperlink" Target="https://www.diodes.com/assets/Datasheets/DMP3011SFVW.pdf" TargetMode="External"/><Relationship Id="rId_hyperlink_2063" Type="http://schemas.openxmlformats.org/officeDocument/2006/relationships/hyperlink" Target="https://www.diodes.com/part/view/DMP3011SFVWQ" TargetMode="External"/><Relationship Id="rId_hyperlink_2064" Type="http://schemas.openxmlformats.org/officeDocument/2006/relationships/hyperlink" Target="https://www.diodes.com/assets/Datasheets/DMP3011SFVWQ.pdf" TargetMode="External"/><Relationship Id="rId_hyperlink_2065" Type="http://schemas.openxmlformats.org/officeDocument/2006/relationships/hyperlink" Target="https://www.diodes.com/part/view/DMP3011SPDW" TargetMode="External"/><Relationship Id="rId_hyperlink_2066" Type="http://schemas.openxmlformats.org/officeDocument/2006/relationships/hyperlink" Target="https://www.diodes.com/assets/Datasheets/DMP3011SPDW.pdf" TargetMode="External"/><Relationship Id="rId_hyperlink_2067" Type="http://schemas.openxmlformats.org/officeDocument/2006/relationships/hyperlink" Target="https://www.diodes.com/part/view/DMP3011SPSW" TargetMode="External"/><Relationship Id="rId_hyperlink_2068" Type="http://schemas.openxmlformats.org/officeDocument/2006/relationships/hyperlink" Target="https://www.diodes.com/assets/Datasheets/DMP3011SPSW.pdf" TargetMode="External"/><Relationship Id="rId_hyperlink_2069" Type="http://schemas.openxmlformats.org/officeDocument/2006/relationships/hyperlink" Target="https://www.diodes.com/part/view/DMP3011SSS" TargetMode="External"/><Relationship Id="rId_hyperlink_2070" Type="http://schemas.openxmlformats.org/officeDocument/2006/relationships/hyperlink" Target="https://www.diodes.com/assets/Datasheets/DMP3011SSS.pdf" TargetMode="External"/><Relationship Id="rId_hyperlink_2071" Type="http://schemas.openxmlformats.org/officeDocument/2006/relationships/hyperlink" Target="https://www.diodes.com/part/view/DMP3012LPS" TargetMode="External"/><Relationship Id="rId_hyperlink_2072" Type="http://schemas.openxmlformats.org/officeDocument/2006/relationships/hyperlink" Target="https://www.diodes.com/assets/Datasheets/DMP3012LPS.pdf" TargetMode="External"/><Relationship Id="rId_hyperlink_2073" Type="http://schemas.openxmlformats.org/officeDocument/2006/relationships/hyperlink" Target="https://www.diodes.com/part/view/DMP3013SFK" TargetMode="External"/><Relationship Id="rId_hyperlink_2074" Type="http://schemas.openxmlformats.org/officeDocument/2006/relationships/hyperlink" Target="https://www.diodes.com/assets/Datasheets/DMP3013SFK.pdf" TargetMode="External"/><Relationship Id="rId_hyperlink_2075" Type="http://schemas.openxmlformats.org/officeDocument/2006/relationships/hyperlink" Target="https://www.diodes.com/part/view/DMP3013SFV" TargetMode="External"/><Relationship Id="rId_hyperlink_2076" Type="http://schemas.openxmlformats.org/officeDocument/2006/relationships/hyperlink" Target="https://www.diodes.com/assets/Datasheets/DMP3013SFV.pdf" TargetMode="External"/><Relationship Id="rId_hyperlink_2077" Type="http://schemas.openxmlformats.org/officeDocument/2006/relationships/hyperlink" Target="https://www.diodes.com/part/view/DMP3017SFK" TargetMode="External"/><Relationship Id="rId_hyperlink_2078" Type="http://schemas.openxmlformats.org/officeDocument/2006/relationships/hyperlink" Target="https://www.diodes.com/assets/Datasheets/DMP3017SFK.pdf" TargetMode="External"/><Relationship Id="rId_hyperlink_2079" Type="http://schemas.openxmlformats.org/officeDocument/2006/relationships/hyperlink" Target="https://www.diodes.com/part/view/DMP3018SFK" TargetMode="External"/><Relationship Id="rId_hyperlink_2080" Type="http://schemas.openxmlformats.org/officeDocument/2006/relationships/hyperlink" Target="https://www.diodes.com/assets/Datasheets/DMP3018SFK.pdf" TargetMode="External"/><Relationship Id="rId_hyperlink_2081" Type="http://schemas.openxmlformats.org/officeDocument/2006/relationships/hyperlink" Target="https://www.diodes.com/part/view/DMP3018SFV" TargetMode="External"/><Relationship Id="rId_hyperlink_2082" Type="http://schemas.openxmlformats.org/officeDocument/2006/relationships/hyperlink" Target="https://www.diodes.com/assets/Datasheets/DMP3018SFV.pdf" TargetMode="External"/><Relationship Id="rId_hyperlink_2083" Type="http://schemas.openxmlformats.org/officeDocument/2006/relationships/hyperlink" Target="https://www.diodes.com/part/view/DMP3018SSS" TargetMode="External"/><Relationship Id="rId_hyperlink_2084" Type="http://schemas.openxmlformats.org/officeDocument/2006/relationships/hyperlink" Target="https://www.diodes.com/assets/Datasheets/DMP3018SSS.pdf" TargetMode="External"/><Relationship Id="rId_hyperlink_2085" Type="http://schemas.openxmlformats.org/officeDocument/2006/relationships/hyperlink" Target="https://www.diodes.com/part/view/DMP3020LSS" TargetMode="External"/><Relationship Id="rId_hyperlink_2086" Type="http://schemas.openxmlformats.org/officeDocument/2006/relationships/hyperlink" Target="https://www.diodes.com/assets/Datasheets/ds31263.pdf" TargetMode="External"/><Relationship Id="rId_hyperlink_2087" Type="http://schemas.openxmlformats.org/officeDocument/2006/relationships/hyperlink" Target="https://www.diodes.com/part/view/DMP3021SFVW" TargetMode="External"/><Relationship Id="rId_hyperlink_2088" Type="http://schemas.openxmlformats.org/officeDocument/2006/relationships/hyperlink" Target="https://www.diodes.com/assets/Datasheets/DMP3021SFVW.pdf" TargetMode="External"/><Relationship Id="rId_hyperlink_2089" Type="http://schemas.openxmlformats.org/officeDocument/2006/relationships/hyperlink" Target="https://www.diodes.com/part/view/DMP3021SFVWQ" TargetMode="External"/><Relationship Id="rId_hyperlink_2090" Type="http://schemas.openxmlformats.org/officeDocument/2006/relationships/hyperlink" Target="https://www.diodes.com/assets/Datasheets/DMP3021SFVWQ.pdf" TargetMode="External"/><Relationship Id="rId_hyperlink_2091" Type="http://schemas.openxmlformats.org/officeDocument/2006/relationships/hyperlink" Target="https://www.diodes.com/part/view/DMP3021SPDW" TargetMode="External"/><Relationship Id="rId_hyperlink_2092" Type="http://schemas.openxmlformats.org/officeDocument/2006/relationships/hyperlink" Target="https://www.diodes.com/assets/Datasheets/DMP3021SPDW.pdf" TargetMode="External"/><Relationship Id="rId_hyperlink_2093" Type="http://schemas.openxmlformats.org/officeDocument/2006/relationships/hyperlink" Target="https://www.diodes.com/part/view/DMP3021SPSW" TargetMode="External"/><Relationship Id="rId_hyperlink_2094" Type="http://schemas.openxmlformats.org/officeDocument/2006/relationships/hyperlink" Target="https://www.diodes.com/assets/Datasheets/DMP3021SPSW.pdf" TargetMode="External"/><Relationship Id="rId_hyperlink_2095" Type="http://schemas.openxmlformats.org/officeDocument/2006/relationships/hyperlink" Target="https://www.diodes.com/part/view/DMP3021SSS" TargetMode="External"/><Relationship Id="rId_hyperlink_2096" Type="http://schemas.openxmlformats.org/officeDocument/2006/relationships/hyperlink" Target="https://www.diodes.com/assets/Datasheets/DMP3021SSS.pdf" TargetMode="External"/><Relationship Id="rId_hyperlink_2097" Type="http://schemas.openxmlformats.org/officeDocument/2006/relationships/hyperlink" Target="https://www.diodes.com/part/view/DMP3025SFDF" TargetMode="External"/><Relationship Id="rId_hyperlink_2098" Type="http://schemas.openxmlformats.org/officeDocument/2006/relationships/hyperlink" Target="https://www.diodes.com/assets/Datasheets/DMP3025SFDF.pdf" TargetMode="External"/><Relationship Id="rId_hyperlink_2099" Type="http://schemas.openxmlformats.org/officeDocument/2006/relationships/hyperlink" Target="https://www.diodes.com/part/view/DMP3026SFDE" TargetMode="External"/><Relationship Id="rId_hyperlink_2100" Type="http://schemas.openxmlformats.org/officeDocument/2006/relationships/hyperlink" Target="https://www.diodes.com/assets/Datasheets/DMP3026SFDE.pdf" TargetMode="External"/><Relationship Id="rId_hyperlink_2101" Type="http://schemas.openxmlformats.org/officeDocument/2006/relationships/hyperlink" Target="https://www.diodes.com/part/view/DMP3026SFDF" TargetMode="External"/><Relationship Id="rId_hyperlink_2102" Type="http://schemas.openxmlformats.org/officeDocument/2006/relationships/hyperlink" Target="https://www.diodes.com/assets/Datasheets/DMP3026SFDF.pdf" TargetMode="External"/><Relationship Id="rId_hyperlink_2103" Type="http://schemas.openxmlformats.org/officeDocument/2006/relationships/hyperlink" Target="https://www.diodes.com/part/view/DMP3027LFDE" TargetMode="External"/><Relationship Id="rId_hyperlink_2104" Type="http://schemas.openxmlformats.org/officeDocument/2006/relationships/hyperlink" Target="https://www.diodes.com/assets/Datasheets/DMP3027LFDE.pdf" TargetMode="External"/><Relationship Id="rId_hyperlink_2105" Type="http://schemas.openxmlformats.org/officeDocument/2006/relationships/hyperlink" Target="https://www.diodes.com/part/view/DMP3027LFDEQ" TargetMode="External"/><Relationship Id="rId_hyperlink_2106" Type="http://schemas.openxmlformats.org/officeDocument/2006/relationships/hyperlink" Target="https://www.diodes.com/assets/Datasheets/DMP3027LFDEQ.pdf" TargetMode="External"/><Relationship Id="rId_hyperlink_2107" Type="http://schemas.openxmlformats.org/officeDocument/2006/relationships/hyperlink" Target="https://www.diodes.com/part/view/DMP3028LFDE" TargetMode="External"/><Relationship Id="rId_hyperlink_2108" Type="http://schemas.openxmlformats.org/officeDocument/2006/relationships/hyperlink" Target="https://www.diodes.com/assets/Datasheets/DMP3028LFDE.pdf" TargetMode="External"/><Relationship Id="rId_hyperlink_2109" Type="http://schemas.openxmlformats.org/officeDocument/2006/relationships/hyperlink" Target="https://www.diodes.com/part/view/DMP3028LFDEQ" TargetMode="External"/><Relationship Id="rId_hyperlink_2110" Type="http://schemas.openxmlformats.org/officeDocument/2006/relationships/hyperlink" Target="https://www.diodes.com/assets/Datasheets/DMP3028LFDEQ.pdf" TargetMode="External"/><Relationship Id="rId_hyperlink_2111" Type="http://schemas.openxmlformats.org/officeDocument/2006/relationships/hyperlink" Target="https://www.diodes.com/part/view/DMP3028LK3" TargetMode="External"/><Relationship Id="rId_hyperlink_2112" Type="http://schemas.openxmlformats.org/officeDocument/2006/relationships/hyperlink" Target="https://www.diodes.com/assets/Datasheets/DMP3028LK3.pdf" TargetMode="External"/><Relationship Id="rId_hyperlink_2113" Type="http://schemas.openxmlformats.org/officeDocument/2006/relationships/hyperlink" Target="https://www.diodes.com/part/view/DMP3028LK3Q" TargetMode="External"/><Relationship Id="rId_hyperlink_2114" Type="http://schemas.openxmlformats.org/officeDocument/2006/relationships/hyperlink" Target="https://www.diodes.com/assets/Datasheets/DMP3028LK3Q.pdf" TargetMode="External"/><Relationship Id="rId_hyperlink_2115" Type="http://schemas.openxmlformats.org/officeDocument/2006/relationships/hyperlink" Target="https://www.diodes.com/part/view/DMP3028LPSQ" TargetMode="External"/><Relationship Id="rId_hyperlink_2116" Type="http://schemas.openxmlformats.org/officeDocument/2006/relationships/hyperlink" Target="https://www.diodes.com/assets/Datasheets/DMP3028LPSQ.pdf" TargetMode="External"/><Relationship Id="rId_hyperlink_2117" Type="http://schemas.openxmlformats.org/officeDocument/2006/relationships/hyperlink" Target="https://www.diodes.com/part/view/DMP3028LPSW" TargetMode="External"/><Relationship Id="rId_hyperlink_2118" Type="http://schemas.openxmlformats.org/officeDocument/2006/relationships/hyperlink" Target="https://www.diodes.com/assets/Datasheets/DMP3028LPSW.pdf" TargetMode="External"/><Relationship Id="rId_hyperlink_2119" Type="http://schemas.openxmlformats.org/officeDocument/2006/relationships/hyperlink" Target="https://www.diodes.com/part/view/DMP3028LSD" TargetMode="External"/><Relationship Id="rId_hyperlink_2120" Type="http://schemas.openxmlformats.org/officeDocument/2006/relationships/hyperlink" Target="https://www.diodes.com/assets/Datasheets/DMP3028LSD.pdf" TargetMode="External"/><Relationship Id="rId_hyperlink_2121" Type="http://schemas.openxmlformats.org/officeDocument/2006/relationships/hyperlink" Target="https://www.diodes.com/part/view/DMP3030SN" TargetMode="External"/><Relationship Id="rId_hyperlink_2122" Type="http://schemas.openxmlformats.org/officeDocument/2006/relationships/hyperlink" Target="https://www.diodes.com/assets/Datasheets/DMP3030SN.pdf" TargetMode="External"/><Relationship Id="rId_hyperlink_2123" Type="http://schemas.openxmlformats.org/officeDocument/2006/relationships/hyperlink" Target="https://www.diodes.com/part/view/DMP3035LSS" TargetMode="External"/><Relationship Id="rId_hyperlink_2124" Type="http://schemas.openxmlformats.org/officeDocument/2006/relationships/hyperlink" Target="https://www.diodes.com/assets/Datasheets/DMP3035LSS.pdf" TargetMode="External"/><Relationship Id="rId_hyperlink_2125" Type="http://schemas.openxmlformats.org/officeDocument/2006/relationships/hyperlink" Target="https://www.diodes.com/part/view/DMP3036SFG" TargetMode="External"/><Relationship Id="rId_hyperlink_2126" Type="http://schemas.openxmlformats.org/officeDocument/2006/relationships/hyperlink" Target="https://www.diodes.com/assets/Datasheets/DMP3036SFG.pdf" TargetMode="External"/><Relationship Id="rId_hyperlink_2127" Type="http://schemas.openxmlformats.org/officeDocument/2006/relationships/hyperlink" Target="https://www.diodes.com/part/view/DMP3036SFV" TargetMode="External"/><Relationship Id="rId_hyperlink_2128" Type="http://schemas.openxmlformats.org/officeDocument/2006/relationships/hyperlink" Target="https://www.diodes.com/assets/Datasheets/DMP3036SFV.pdf" TargetMode="External"/><Relationship Id="rId_hyperlink_2129" Type="http://schemas.openxmlformats.org/officeDocument/2006/relationships/hyperlink" Target="https://www.diodes.com/part/view/DMP3036SFVQ" TargetMode="External"/><Relationship Id="rId_hyperlink_2130" Type="http://schemas.openxmlformats.org/officeDocument/2006/relationships/hyperlink" Target="https://www.diodes.com/assets/Datasheets/DMP3036SFVQ.pdf" TargetMode="External"/><Relationship Id="rId_hyperlink_2131" Type="http://schemas.openxmlformats.org/officeDocument/2006/relationships/hyperlink" Target="https://www.diodes.com/part/view/DMP3036SSD" TargetMode="External"/><Relationship Id="rId_hyperlink_2132" Type="http://schemas.openxmlformats.org/officeDocument/2006/relationships/hyperlink" Target="https://www.diodes.com/assets/Datasheets/DMP3036SSD.pdf" TargetMode="External"/><Relationship Id="rId_hyperlink_2133" Type="http://schemas.openxmlformats.org/officeDocument/2006/relationships/hyperlink" Target="https://www.diodes.com/part/view/DMP3036SSS" TargetMode="External"/><Relationship Id="rId_hyperlink_2134" Type="http://schemas.openxmlformats.org/officeDocument/2006/relationships/hyperlink" Target="https://www.diodes.com/assets/Datasheets/DMP3036SSS.pdf" TargetMode="External"/><Relationship Id="rId_hyperlink_2135" Type="http://schemas.openxmlformats.org/officeDocument/2006/relationships/hyperlink" Target="https://www.diodes.com/part/view/DMP3037LSS" TargetMode="External"/><Relationship Id="rId_hyperlink_2136" Type="http://schemas.openxmlformats.org/officeDocument/2006/relationships/hyperlink" Target="https://www.diodes.com/assets/Datasheets/DMP3037LSS.pdf" TargetMode="External"/><Relationship Id="rId_hyperlink_2137" Type="http://schemas.openxmlformats.org/officeDocument/2006/relationships/hyperlink" Target="https://www.diodes.com/part/view/DMP3037LSSQ" TargetMode="External"/><Relationship Id="rId_hyperlink_2138" Type="http://schemas.openxmlformats.org/officeDocument/2006/relationships/hyperlink" Target="https://www.diodes.com/assets/Datasheets/DMP3037LSSQ.pdf" TargetMode="External"/><Relationship Id="rId_hyperlink_2139" Type="http://schemas.openxmlformats.org/officeDocument/2006/relationships/hyperlink" Target="https://www.diodes.com/part/view/DMP3045LFVW" TargetMode="External"/><Relationship Id="rId_hyperlink_2140" Type="http://schemas.openxmlformats.org/officeDocument/2006/relationships/hyperlink" Target="https://www.diodes.com/assets/Datasheets/DMP3045LFVW.pdf" TargetMode="External"/><Relationship Id="rId_hyperlink_2141" Type="http://schemas.openxmlformats.org/officeDocument/2006/relationships/hyperlink" Target="https://www.diodes.com/part/view/DMP3045LFVWQ" TargetMode="External"/><Relationship Id="rId_hyperlink_2142" Type="http://schemas.openxmlformats.org/officeDocument/2006/relationships/hyperlink" Target="https://www.diodes.com/assets/Datasheets/DMP3045LFVWQ.pdf" TargetMode="External"/><Relationship Id="rId_hyperlink_2143" Type="http://schemas.openxmlformats.org/officeDocument/2006/relationships/hyperlink" Target="https://www.diodes.com/part/view/DMP3045LVT" TargetMode="External"/><Relationship Id="rId_hyperlink_2144" Type="http://schemas.openxmlformats.org/officeDocument/2006/relationships/hyperlink" Target="https://www.diodes.com/assets/Datasheets/DMP3045LVT.pdf" TargetMode="External"/><Relationship Id="rId_hyperlink_2145" Type="http://schemas.openxmlformats.org/officeDocument/2006/relationships/hyperlink" Target="https://www.diodes.com/part/view/DMP3045LVTQ" TargetMode="External"/><Relationship Id="rId_hyperlink_2146" Type="http://schemas.openxmlformats.org/officeDocument/2006/relationships/hyperlink" Target="https://www.diodes.com/assets/Datasheets/DMP3045LVTQ.pdf" TargetMode="External"/><Relationship Id="rId_hyperlink_2147" Type="http://schemas.openxmlformats.org/officeDocument/2006/relationships/hyperlink" Target="https://www.diodes.com/part/view/DMP3048LSD" TargetMode="External"/><Relationship Id="rId_hyperlink_2148" Type="http://schemas.openxmlformats.org/officeDocument/2006/relationships/hyperlink" Target="https://www.diodes.com/assets/Datasheets/DMP3048LSD.pdf" TargetMode="External"/><Relationship Id="rId_hyperlink_2149" Type="http://schemas.openxmlformats.org/officeDocument/2006/relationships/hyperlink" Target="https://www.diodes.com/part/view/DMP3050LSS" TargetMode="External"/><Relationship Id="rId_hyperlink_2150" Type="http://schemas.openxmlformats.org/officeDocument/2006/relationships/hyperlink" Target="https://www.diodes.com/assets/Datasheets/DMP3050LSS.pdf" TargetMode="External"/><Relationship Id="rId_hyperlink_2151" Type="http://schemas.openxmlformats.org/officeDocument/2006/relationships/hyperlink" Target="https://www.diodes.com/part/view/DMP3050LVT" TargetMode="External"/><Relationship Id="rId_hyperlink_2152" Type="http://schemas.openxmlformats.org/officeDocument/2006/relationships/hyperlink" Target="https://www.diodes.com/assets/Datasheets/DMP3050LVT.pdf" TargetMode="External"/><Relationship Id="rId_hyperlink_2153" Type="http://schemas.openxmlformats.org/officeDocument/2006/relationships/hyperlink" Target="https://www.diodes.com/part/view/DMP3050LVTQ" TargetMode="External"/><Relationship Id="rId_hyperlink_2154" Type="http://schemas.openxmlformats.org/officeDocument/2006/relationships/hyperlink" Target="https://www.diodes.com/assets/Datasheets/DMP3050LVTQ.pdf" TargetMode="External"/><Relationship Id="rId_hyperlink_2155" Type="http://schemas.openxmlformats.org/officeDocument/2006/relationships/hyperlink" Target="https://www.diodes.com/part/view/DMP3056L" TargetMode="External"/><Relationship Id="rId_hyperlink_2156" Type="http://schemas.openxmlformats.org/officeDocument/2006/relationships/hyperlink" Target="https://www.diodes.com/assets/Datasheets/DMP3056L.pdf" TargetMode="External"/><Relationship Id="rId_hyperlink_2157" Type="http://schemas.openxmlformats.org/officeDocument/2006/relationships/hyperlink" Target="https://www.diodes.com/part/view/DMP3056LDM" TargetMode="External"/><Relationship Id="rId_hyperlink_2158" Type="http://schemas.openxmlformats.org/officeDocument/2006/relationships/hyperlink" Target="https://www.diodes.com/assets/Datasheets/DMP3056LDM.pdf" TargetMode="External"/><Relationship Id="rId_hyperlink_2159" Type="http://schemas.openxmlformats.org/officeDocument/2006/relationships/hyperlink" Target="https://www.diodes.com/part/view/DMP3056LSD" TargetMode="External"/><Relationship Id="rId_hyperlink_2160" Type="http://schemas.openxmlformats.org/officeDocument/2006/relationships/hyperlink" Target="https://www.diodes.com/assets/Datasheets/ds31420.pdf" TargetMode="External"/><Relationship Id="rId_hyperlink_2161" Type="http://schemas.openxmlformats.org/officeDocument/2006/relationships/hyperlink" Target="https://www.diodes.com/part/view/DMP3056LSDQ" TargetMode="External"/><Relationship Id="rId_hyperlink_2162" Type="http://schemas.openxmlformats.org/officeDocument/2006/relationships/hyperlink" Target="https://www.diodes.com/assets/Datasheets/DMP3056LSDQ.pdf" TargetMode="External"/><Relationship Id="rId_hyperlink_2163" Type="http://schemas.openxmlformats.org/officeDocument/2006/relationships/hyperlink" Target="https://www.diodes.com/part/view/DMP3056LSS" TargetMode="External"/><Relationship Id="rId_hyperlink_2164" Type="http://schemas.openxmlformats.org/officeDocument/2006/relationships/hyperlink" Target="https://www.diodes.com/assets/Datasheets/ds31421.pdf" TargetMode="External"/><Relationship Id="rId_hyperlink_2165" Type="http://schemas.openxmlformats.org/officeDocument/2006/relationships/hyperlink" Target="https://www.diodes.com/part/view/DMP3056LSSQ" TargetMode="External"/><Relationship Id="rId_hyperlink_2166" Type="http://schemas.openxmlformats.org/officeDocument/2006/relationships/hyperlink" Target="https://www.diodes.com/assets/Datasheets/DMP3056LSSQ.pdf" TargetMode="External"/><Relationship Id="rId_hyperlink_2167" Type="http://schemas.openxmlformats.org/officeDocument/2006/relationships/hyperlink" Target="https://www.diodes.com/part/view/DMP3065LVT" TargetMode="External"/><Relationship Id="rId_hyperlink_2168" Type="http://schemas.openxmlformats.org/officeDocument/2006/relationships/hyperlink" Target="https://www.diodes.com/assets/Datasheets/DMP3065LVT.pdf" TargetMode="External"/><Relationship Id="rId_hyperlink_2169" Type="http://schemas.openxmlformats.org/officeDocument/2006/relationships/hyperlink" Target="https://www.diodes.com/part/view/DMP3068L" TargetMode="External"/><Relationship Id="rId_hyperlink_2170" Type="http://schemas.openxmlformats.org/officeDocument/2006/relationships/hyperlink" Target="https://www.diodes.com/assets/Datasheets/DMP3068L.pdf" TargetMode="External"/><Relationship Id="rId_hyperlink_2171" Type="http://schemas.openxmlformats.org/officeDocument/2006/relationships/hyperlink" Target="https://www.diodes.com/part/view/DMP3068LVT" TargetMode="External"/><Relationship Id="rId_hyperlink_2172" Type="http://schemas.openxmlformats.org/officeDocument/2006/relationships/hyperlink" Target="https://www.diodes.com/assets/Datasheets/DMP3068LVT.pdf" TargetMode="External"/><Relationship Id="rId_hyperlink_2173" Type="http://schemas.openxmlformats.org/officeDocument/2006/relationships/hyperlink" Target="https://www.diodes.com/part/view/DMP3085LSD" TargetMode="External"/><Relationship Id="rId_hyperlink_2174" Type="http://schemas.openxmlformats.org/officeDocument/2006/relationships/hyperlink" Target="https://www.diodes.com/assets/Datasheets/DMP3085LSD.pdf" TargetMode="External"/><Relationship Id="rId_hyperlink_2175" Type="http://schemas.openxmlformats.org/officeDocument/2006/relationships/hyperlink" Target="https://www.diodes.com/part/view/DMP3085LSS" TargetMode="External"/><Relationship Id="rId_hyperlink_2176" Type="http://schemas.openxmlformats.org/officeDocument/2006/relationships/hyperlink" Target="https://www.diodes.com/assets/Datasheets/DMP3085LSS.pdf" TargetMode="External"/><Relationship Id="rId_hyperlink_2177" Type="http://schemas.openxmlformats.org/officeDocument/2006/relationships/hyperlink" Target="https://www.diodes.com/part/view/DMP3096L" TargetMode="External"/><Relationship Id="rId_hyperlink_2178" Type="http://schemas.openxmlformats.org/officeDocument/2006/relationships/hyperlink" Target="https://www.diodes.com/assets/Datasheets/DMP3096L.pdf" TargetMode="External"/><Relationship Id="rId_hyperlink_2179" Type="http://schemas.openxmlformats.org/officeDocument/2006/relationships/hyperlink" Target="https://www.diodes.com/part/view/DMP3096LQ" TargetMode="External"/><Relationship Id="rId_hyperlink_2180" Type="http://schemas.openxmlformats.org/officeDocument/2006/relationships/hyperlink" Target="https://www.diodes.com/assets/Datasheets/DMP3096LQ.pdf" TargetMode="External"/><Relationship Id="rId_hyperlink_2181" Type="http://schemas.openxmlformats.org/officeDocument/2006/relationships/hyperlink" Target="https://www.diodes.com/part/view/DMP3097L" TargetMode="External"/><Relationship Id="rId_hyperlink_2182" Type="http://schemas.openxmlformats.org/officeDocument/2006/relationships/hyperlink" Target="https://www.diodes.com/assets/Datasheets/DMP3097L.pdf" TargetMode="External"/><Relationship Id="rId_hyperlink_2183" Type="http://schemas.openxmlformats.org/officeDocument/2006/relationships/hyperlink" Target="https://www.diodes.com/part/view/DMP3097LQ" TargetMode="External"/><Relationship Id="rId_hyperlink_2184" Type="http://schemas.openxmlformats.org/officeDocument/2006/relationships/hyperlink" Target="https://www.diodes.com/assets/Datasheets/DMP3097LQ.pdf" TargetMode="External"/><Relationship Id="rId_hyperlink_2185" Type="http://schemas.openxmlformats.org/officeDocument/2006/relationships/hyperlink" Target="https://www.diodes.com/part/view/DMP3098L" TargetMode="External"/><Relationship Id="rId_hyperlink_2186" Type="http://schemas.openxmlformats.org/officeDocument/2006/relationships/hyperlink" Target="https://www.diodes.com/assets/Datasheets/ds31447.pdf" TargetMode="External"/><Relationship Id="rId_hyperlink_2187" Type="http://schemas.openxmlformats.org/officeDocument/2006/relationships/hyperlink" Target="https://www.diodes.com/part/view/DMP3098LDM" TargetMode="External"/><Relationship Id="rId_hyperlink_2188" Type="http://schemas.openxmlformats.org/officeDocument/2006/relationships/hyperlink" Target="https://www.diodes.com/assets/Datasheets/ds31446.pdf" TargetMode="External"/><Relationship Id="rId_hyperlink_2189" Type="http://schemas.openxmlformats.org/officeDocument/2006/relationships/hyperlink" Target="https://www.diodes.com/part/view/DMP3098LQ" TargetMode="External"/><Relationship Id="rId_hyperlink_2190" Type="http://schemas.openxmlformats.org/officeDocument/2006/relationships/hyperlink" Target="https://www.diodes.com/assets/Datasheets/DMP3098LQ.pdf" TargetMode="External"/><Relationship Id="rId_hyperlink_2191" Type="http://schemas.openxmlformats.org/officeDocument/2006/relationships/hyperlink" Target="https://www.diodes.com/part/view/DMP3098LSD" TargetMode="External"/><Relationship Id="rId_hyperlink_2192" Type="http://schemas.openxmlformats.org/officeDocument/2006/relationships/hyperlink" Target="https://www.diodes.com/assets/Datasheets/ds31448.pdf" TargetMode="External"/><Relationship Id="rId_hyperlink_2193" Type="http://schemas.openxmlformats.org/officeDocument/2006/relationships/hyperlink" Target="https://www.diodes.com/part/view/DMP3098LSS" TargetMode="External"/><Relationship Id="rId_hyperlink_2194" Type="http://schemas.openxmlformats.org/officeDocument/2006/relationships/hyperlink" Target="https://www.diodes.com/assets/Datasheets/ds31265.pdf" TargetMode="External"/><Relationship Id="rId_hyperlink_2195" Type="http://schemas.openxmlformats.org/officeDocument/2006/relationships/hyperlink" Target="https://www.diodes.com/part/view/DMP3099L" TargetMode="External"/><Relationship Id="rId_hyperlink_2196" Type="http://schemas.openxmlformats.org/officeDocument/2006/relationships/hyperlink" Target="https://www.diodes.com/assets/Datasheets/DMP3099L.pdf" TargetMode="External"/><Relationship Id="rId_hyperlink_2197" Type="http://schemas.openxmlformats.org/officeDocument/2006/relationships/hyperlink" Target="https://www.diodes.com/part/view/DMP3099LQ" TargetMode="External"/><Relationship Id="rId_hyperlink_2198" Type="http://schemas.openxmlformats.org/officeDocument/2006/relationships/hyperlink" Target="https://www.diodes.com/assets/Datasheets/DMP3099LQ.pdf" TargetMode="External"/><Relationship Id="rId_hyperlink_2199" Type="http://schemas.openxmlformats.org/officeDocument/2006/relationships/hyperlink" Target="https://www.diodes.com/part/view/DMP3105LVT" TargetMode="External"/><Relationship Id="rId_hyperlink_2200" Type="http://schemas.openxmlformats.org/officeDocument/2006/relationships/hyperlink" Target="https://www.diodes.com/assets/Datasheets/DMP3105LVT.pdf" TargetMode="External"/><Relationship Id="rId_hyperlink_2201" Type="http://schemas.openxmlformats.org/officeDocument/2006/relationships/hyperlink" Target="https://www.diodes.com/part/view/DMP3125L" TargetMode="External"/><Relationship Id="rId_hyperlink_2202" Type="http://schemas.openxmlformats.org/officeDocument/2006/relationships/hyperlink" Target="https://www.diodes.com/assets/Datasheets/DMP3125L.pdf" TargetMode="External"/><Relationship Id="rId_hyperlink_2203" Type="http://schemas.openxmlformats.org/officeDocument/2006/relationships/hyperlink" Target="https://www.diodes.com/part/view/DMP3130LQ" TargetMode="External"/><Relationship Id="rId_hyperlink_2204" Type="http://schemas.openxmlformats.org/officeDocument/2006/relationships/hyperlink" Target="https://www.diodes.com/assets/Datasheets/DMP3130LQ.pdf" TargetMode="External"/><Relationship Id="rId_hyperlink_2205" Type="http://schemas.openxmlformats.org/officeDocument/2006/relationships/hyperlink" Target="https://www.diodes.com/part/view/DMP3160L" TargetMode="External"/><Relationship Id="rId_hyperlink_2206" Type="http://schemas.openxmlformats.org/officeDocument/2006/relationships/hyperlink" Target="https://www.diodes.com/assets/Datasheets/DMP3160L.pdf" TargetMode="External"/><Relationship Id="rId_hyperlink_2207" Type="http://schemas.openxmlformats.org/officeDocument/2006/relationships/hyperlink" Target="https://www.diodes.com/part/view/DMP3164LVT" TargetMode="External"/><Relationship Id="rId_hyperlink_2208" Type="http://schemas.openxmlformats.org/officeDocument/2006/relationships/hyperlink" Target="https://www.diodes.com/assets/Datasheets/DMP3164LVT.pdf" TargetMode="External"/><Relationship Id="rId_hyperlink_2209" Type="http://schemas.openxmlformats.org/officeDocument/2006/relationships/hyperlink" Target="https://www.diodes.com/part/view/DMP3165L" TargetMode="External"/><Relationship Id="rId_hyperlink_2210" Type="http://schemas.openxmlformats.org/officeDocument/2006/relationships/hyperlink" Target="https://www.diodes.com/assets/Datasheets/DMP3165L.pdf" TargetMode="External"/><Relationship Id="rId_hyperlink_2211" Type="http://schemas.openxmlformats.org/officeDocument/2006/relationships/hyperlink" Target="https://www.diodes.com/part/view/DMP3165LQ" TargetMode="External"/><Relationship Id="rId_hyperlink_2212" Type="http://schemas.openxmlformats.org/officeDocument/2006/relationships/hyperlink" Target="https://www.diodes.com/assets/Datasheets/DMP3165LQ.pdf" TargetMode="External"/><Relationship Id="rId_hyperlink_2213" Type="http://schemas.openxmlformats.org/officeDocument/2006/relationships/hyperlink" Target="https://www.diodes.com/part/view/DMP3165SVTQ" TargetMode="External"/><Relationship Id="rId_hyperlink_2214" Type="http://schemas.openxmlformats.org/officeDocument/2006/relationships/hyperlink" Target="https://www.diodes.com/assets/Datasheets/DMP3165SVTQ.pdf" TargetMode="External"/><Relationship Id="rId_hyperlink_2215" Type="http://schemas.openxmlformats.org/officeDocument/2006/relationships/hyperlink" Target="https://www.diodes.com/part/view/DMP31D0U" TargetMode="External"/><Relationship Id="rId_hyperlink_2216" Type="http://schemas.openxmlformats.org/officeDocument/2006/relationships/hyperlink" Target="https://www.diodes.com/assets/Datasheets/DMP31D0U.pdf" TargetMode="External"/><Relationship Id="rId_hyperlink_2217" Type="http://schemas.openxmlformats.org/officeDocument/2006/relationships/hyperlink" Target="https://www.diodes.com/part/view/DMP31D0UFB4" TargetMode="External"/><Relationship Id="rId_hyperlink_2218" Type="http://schemas.openxmlformats.org/officeDocument/2006/relationships/hyperlink" Target="https://www.diodes.com/assets/Datasheets/DMP31D0UFB4.pdf" TargetMode="External"/><Relationship Id="rId_hyperlink_2219" Type="http://schemas.openxmlformats.org/officeDocument/2006/relationships/hyperlink" Target="https://www.diodes.com/part/view/DMP31D1U" TargetMode="External"/><Relationship Id="rId_hyperlink_2220" Type="http://schemas.openxmlformats.org/officeDocument/2006/relationships/hyperlink" Target="https://www.diodes.com/assets/Datasheets/DMP31D1U.pdf" TargetMode="External"/><Relationship Id="rId_hyperlink_2221" Type="http://schemas.openxmlformats.org/officeDocument/2006/relationships/hyperlink" Target="https://www.diodes.com/part/view/DMP31D1UDW" TargetMode="External"/><Relationship Id="rId_hyperlink_2222" Type="http://schemas.openxmlformats.org/officeDocument/2006/relationships/hyperlink" Target="https://www.diodes.com/assets/Datasheets/DMP31D1UDW.pdf" TargetMode="External"/><Relationship Id="rId_hyperlink_2223" Type="http://schemas.openxmlformats.org/officeDocument/2006/relationships/hyperlink" Target="https://www.diodes.com/part/view/DMP31D1UDWQ" TargetMode="External"/><Relationship Id="rId_hyperlink_2224" Type="http://schemas.openxmlformats.org/officeDocument/2006/relationships/hyperlink" Target="https://www.diodes.com/assets/Datasheets/DMP31D1UDWQ.pdf" TargetMode="External"/><Relationship Id="rId_hyperlink_2225" Type="http://schemas.openxmlformats.org/officeDocument/2006/relationships/hyperlink" Target="https://www.diodes.com/part/view/DMP31D1UFB4" TargetMode="External"/><Relationship Id="rId_hyperlink_2226" Type="http://schemas.openxmlformats.org/officeDocument/2006/relationships/hyperlink" Target="https://www.diodes.com/assets/Datasheets/DMP31D1UFB4.pdf" TargetMode="External"/><Relationship Id="rId_hyperlink_2227" Type="http://schemas.openxmlformats.org/officeDocument/2006/relationships/hyperlink" Target="https://www.diodes.com/part/view/DMP31D1UFB4Q" TargetMode="External"/><Relationship Id="rId_hyperlink_2228" Type="http://schemas.openxmlformats.org/officeDocument/2006/relationships/hyperlink" Target="https://www.diodes.com/assets/Datasheets/DMP31D1UFB4Q.pdf" TargetMode="External"/><Relationship Id="rId_hyperlink_2229" Type="http://schemas.openxmlformats.org/officeDocument/2006/relationships/hyperlink" Target="https://www.diodes.com/part/view/DMP31D1UQ" TargetMode="External"/><Relationship Id="rId_hyperlink_2230" Type="http://schemas.openxmlformats.org/officeDocument/2006/relationships/hyperlink" Target="https://www.diodes.com/assets/Datasheets/DMP31D1UQ.pdf" TargetMode="External"/><Relationship Id="rId_hyperlink_2231" Type="http://schemas.openxmlformats.org/officeDocument/2006/relationships/hyperlink" Target="https://www.diodes.com/part/view/DMP31D1UVT" TargetMode="External"/><Relationship Id="rId_hyperlink_2232" Type="http://schemas.openxmlformats.org/officeDocument/2006/relationships/hyperlink" Target="https://www.diodes.com/assets/Datasheets/DMP31D1UVT.pdf" TargetMode="External"/><Relationship Id="rId_hyperlink_2233" Type="http://schemas.openxmlformats.org/officeDocument/2006/relationships/hyperlink" Target="https://www.diodes.com/part/view/DMP31D1UVTQ" TargetMode="External"/><Relationship Id="rId_hyperlink_2234" Type="http://schemas.openxmlformats.org/officeDocument/2006/relationships/hyperlink" Target="https://www.diodes.com/assets/Datasheets/DMP31D1UVTQ.pdf" TargetMode="External"/><Relationship Id="rId_hyperlink_2235" Type="http://schemas.openxmlformats.org/officeDocument/2006/relationships/hyperlink" Target="https://www.diodes.com/part/view/DMP31D1UW" TargetMode="External"/><Relationship Id="rId_hyperlink_2236" Type="http://schemas.openxmlformats.org/officeDocument/2006/relationships/hyperlink" Target="https://www.diodes.com/assets/Datasheets/DMP31D1UW.pdf" TargetMode="External"/><Relationship Id="rId_hyperlink_2237" Type="http://schemas.openxmlformats.org/officeDocument/2006/relationships/hyperlink" Target="https://www.diodes.com/part/view/DMP31D1UWQ" TargetMode="External"/><Relationship Id="rId_hyperlink_2238" Type="http://schemas.openxmlformats.org/officeDocument/2006/relationships/hyperlink" Target="https://www.diodes.com/assets/Datasheets/DMP31D1UWQ.pdf" TargetMode="External"/><Relationship Id="rId_hyperlink_2239" Type="http://schemas.openxmlformats.org/officeDocument/2006/relationships/hyperlink" Target="https://www.diodes.com/part/view/DMP31D7L" TargetMode="External"/><Relationship Id="rId_hyperlink_2240" Type="http://schemas.openxmlformats.org/officeDocument/2006/relationships/hyperlink" Target="https://www.diodes.com/assets/Datasheets/DMP31D7L.pdf" TargetMode="External"/><Relationship Id="rId_hyperlink_2241" Type="http://schemas.openxmlformats.org/officeDocument/2006/relationships/hyperlink" Target="https://www.diodes.com/part/view/DMP31D7LDW" TargetMode="External"/><Relationship Id="rId_hyperlink_2242" Type="http://schemas.openxmlformats.org/officeDocument/2006/relationships/hyperlink" Target="https://www.diodes.com/assets/Datasheets/DMP31D7LDW.pdf" TargetMode="External"/><Relationship Id="rId_hyperlink_2243" Type="http://schemas.openxmlformats.org/officeDocument/2006/relationships/hyperlink" Target="https://www.diodes.com/part/view/DMP31D7LDWQ" TargetMode="External"/><Relationship Id="rId_hyperlink_2244" Type="http://schemas.openxmlformats.org/officeDocument/2006/relationships/hyperlink" Target="https://www.diodes.com/assets/Datasheets/DMP31D7LDWQ.pdf" TargetMode="External"/><Relationship Id="rId_hyperlink_2245" Type="http://schemas.openxmlformats.org/officeDocument/2006/relationships/hyperlink" Target="https://www.diodes.com/part/view/DMP31D7LFB" TargetMode="External"/><Relationship Id="rId_hyperlink_2246" Type="http://schemas.openxmlformats.org/officeDocument/2006/relationships/hyperlink" Target="https://www.diodes.com/assets/Datasheets/DMP31D7LFB.pdf" TargetMode="External"/><Relationship Id="rId_hyperlink_2247" Type="http://schemas.openxmlformats.org/officeDocument/2006/relationships/hyperlink" Target="https://www.diodes.com/part/view/DMP31D7LFBQ" TargetMode="External"/><Relationship Id="rId_hyperlink_2248" Type="http://schemas.openxmlformats.org/officeDocument/2006/relationships/hyperlink" Target="https://www.diodes.com/assets/Datasheets/DMP31D7LFBQ.pdf" TargetMode="External"/><Relationship Id="rId_hyperlink_2249" Type="http://schemas.openxmlformats.org/officeDocument/2006/relationships/hyperlink" Target="https://www.diodes.com/part/view/DMP31D7LQ" TargetMode="External"/><Relationship Id="rId_hyperlink_2250" Type="http://schemas.openxmlformats.org/officeDocument/2006/relationships/hyperlink" Target="https://www.diodes.com/assets/Datasheets/DMP31D7LQ.pdf" TargetMode="External"/><Relationship Id="rId_hyperlink_2251" Type="http://schemas.openxmlformats.org/officeDocument/2006/relationships/hyperlink" Target="https://www.diodes.com/part/view/DMP31D7LT" TargetMode="External"/><Relationship Id="rId_hyperlink_2252" Type="http://schemas.openxmlformats.org/officeDocument/2006/relationships/hyperlink" Target="https://www.diodes.com/assets/Datasheets/DMP31D7LT.pdf" TargetMode="External"/><Relationship Id="rId_hyperlink_2253" Type="http://schemas.openxmlformats.org/officeDocument/2006/relationships/hyperlink" Target="https://www.diodes.com/part/view/DMP31D7LTQ" TargetMode="External"/><Relationship Id="rId_hyperlink_2254" Type="http://schemas.openxmlformats.org/officeDocument/2006/relationships/hyperlink" Target="https://www.diodes.com/assets/Datasheets/DMP31D7LTQ.pdf" TargetMode="External"/><Relationship Id="rId_hyperlink_2255" Type="http://schemas.openxmlformats.org/officeDocument/2006/relationships/hyperlink" Target="https://www.diodes.com/part/view/DMP31D7LV" TargetMode="External"/><Relationship Id="rId_hyperlink_2256" Type="http://schemas.openxmlformats.org/officeDocument/2006/relationships/hyperlink" Target="https://www.diodes.com/assets/Datasheets/DMP31D7LV.pdf" TargetMode="External"/><Relationship Id="rId_hyperlink_2257" Type="http://schemas.openxmlformats.org/officeDocument/2006/relationships/hyperlink" Target="https://www.diodes.com/part/view/DMP31D7LVQ" TargetMode="External"/><Relationship Id="rId_hyperlink_2258" Type="http://schemas.openxmlformats.org/officeDocument/2006/relationships/hyperlink" Target="https://www.diodes.com/assets/Datasheets/DMP31D7LVQ.pdf" TargetMode="External"/><Relationship Id="rId_hyperlink_2259" Type="http://schemas.openxmlformats.org/officeDocument/2006/relationships/hyperlink" Target="https://www.diodes.com/part/view/DMP31D7LW" TargetMode="External"/><Relationship Id="rId_hyperlink_2260" Type="http://schemas.openxmlformats.org/officeDocument/2006/relationships/hyperlink" Target="https://www.diodes.com/assets/Datasheets/DMP31D7LW.pdf" TargetMode="External"/><Relationship Id="rId_hyperlink_2261" Type="http://schemas.openxmlformats.org/officeDocument/2006/relationships/hyperlink" Target="https://www.diodes.com/part/view/DMP31D7LWQ" TargetMode="External"/><Relationship Id="rId_hyperlink_2262" Type="http://schemas.openxmlformats.org/officeDocument/2006/relationships/hyperlink" Target="https://www.diodes.com/assets/Datasheets/DMP31D7LWQ.pdf" TargetMode="External"/><Relationship Id="rId_hyperlink_2263" Type="http://schemas.openxmlformats.org/officeDocument/2006/relationships/hyperlink" Target="https://www.diodes.com/part/view/DMP32D4S" TargetMode="External"/><Relationship Id="rId_hyperlink_2264" Type="http://schemas.openxmlformats.org/officeDocument/2006/relationships/hyperlink" Target="https://www.diodes.com/assets/Datasheets/DMP32D4S.pdf" TargetMode="External"/><Relationship Id="rId_hyperlink_2265" Type="http://schemas.openxmlformats.org/officeDocument/2006/relationships/hyperlink" Target="https://www.diodes.com/part/view/DMP32D4SFB" TargetMode="External"/><Relationship Id="rId_hyperlink_2266" Type="http://schemas.openxmlformats.org/officeDocument/2006/relationships/hyperlink" Target="https://www.diodes.com/assets/Datasheets/DMP32D4SFB.pdf" TargetMode="External"/><Relationship Id="rId_hyperlink_2267" Type="http://schemas.openxmlformats.org/officeDocument/2006/relationships/hyperlink" Target="https://www.diodes.com/part/view/DMP32D4SW" TargetMode="External"/><Relationship Id="rId_hyperlink_2268" Type="http://schemas.openxmlformats.org/officeDocument/2006/relationships/hyperlink" Target="https://www.diodes.com/assets/Datasheets/DMP32D4SW.pdf" TargetMode="External"/><Relationship Id="rId_hyperlink_2269" Type="http://schemas.openxmlformats.org/officeDocument/2006/relationships/hyperlink" Target="https://www.diodes.com/part/view/DMP32D5LFA" TargetMode="External"/><Relationship Id="rId_hyperlink_2270" Type="http://schemas.openxmlformats.org/officeDocument/2006/relationships/hyperlink" Target="https://www.diodes.com/assets/Datasheets/DMP32D5LFA.pdf" TargetMode="External"/><Relationship Id="rId_hyperlink_2271" Type="http://schemas.openxmlformats.org/officeDocument/2006/relationships/hyperlink" Target="https://www.diodes.com/part/view/DMP32D5SFB" TargetMode="External"/><Relationship Id="rId_hyperlink_2272" Type="http://schemas.openxmlformats.org/officeDocument/2006/relationships/hyperlink" Target="https://www.diodes.com/assets/Datasheets/DMP32D5SFB.pdf" TargetMode="External"/><Relationship Id="rId_hyperlink_2273" Type="http://schemas.openxmlformats.org/officeDocument/2006/relationships/hyperlink" Target="https://www.diodes.com/part/view/DMP32D8UFZ" TargetMode="External"/><Relationship Id="rId_hyperlink_2274" Type="http://schemas.openxmlformats.org/officeDocument/2006/relationships/hyperlink" Target="https://www.diodes.com/assets/Datasheets/DMP32D8UFZ.pdf" TargetMode="External"/><Relationship Id="rId_hyperlink_2275" Type="http://schemas.openxmlformats.org/officeDocument/2006/relationships/hyperlink" Target="https://www.diodes.com/part/view/DMP32D9UDA" TargetMode="External"/><Relationship Id="rId_hyperlink_2276" Type="http://schemas.openxmlformats.org/officeDocument/2006/relationships/hyperlink" Target="https://www.diodes.com/assets/Datasheets/DMP32D9UDA.pdf" TargetMode="External"/><Relationship Id="rId_hyperlink_2277" Type="http://schemas.openxmlformats.org/officeDocument/2006/relationships/hyperlink" Target="https://www.diodes.com/part/view/DMP32D9UDAQ" TargetMode="External"/><Relationship Id="rId_hyperlink_2278" Type="http://schemas.openxmlformats.org/officeDocument/2006/relationships/hyperlink" Target="https://www.diodes.com/assets/Datasheets/DMP32D9UDAQ.pdf" TargetMode="External"/><Relationship Id="rId_hyperlink_2279" Type="http://schemas.openxmlformats.org/officeDocument/2006/relationships/hyperlink" Target="https://www.diodes.com/part/view/DMP32D9UFA" TargetMode="External"/><Relationship Id="rId_hyperlink_2280" Type="http://schemas.openxmlformats.org/officeDocument/2006/relationships/hyperlink" Target="https://www.diodes.com/assets/Datasheets/DMP32D9UFA.pdf" TargetMode="External"/><Relationship Id="rId_hyperlink_2281" Type="http://schemas.openxmlformats.org/officeDocument/2006/relationships/hyperlink" Target="https://www.diodes.com/part/view/DMP32D9UFO" TargetMode="External"/><Relationship Id="rId_hyperlink_2282" Type="http://schemas.openxmlformats.org/officeDocument/2006/relationships/hyperlink" Target="https://www.diodes.com/assets/Datasheets/DMP32D9UFO.pdf" TargetMode="External"/><Relationship Id="rId_hyperlink_2283" Type="http://schemas.openxmlformats.org/officeDocument/2006/relationships/hyperlink" Target="https://www.diodes.com/part/view/DMP32D9UFZ" TargetMode="External"/><Relationship Id="rId_hyperlink_2284" Type="http://schemas.openxmlformats.org/officeDocument/2006/relationships/hyperlink" Target="https://www.diodes.com/assets/Datasheets/DMP32D9UFZ.pdf" TargetMode="External"/><Relationship Id="rId_hyperlink_2285" Type="http://schemas.openxmlformats.org/officeDocument/2006/relationships/hyperlink" Target="https://www.diodes.com/part/view/DMP32M6SPS" TargetMode="External"/><Relationship Id="rId_hyperlink_2286" Type="http://schemas.openxmlformats.org/officeDocument/2006/relationships/hyperlink" Target="https://www.diodes.com/assets/Datasheets/DMP32M6SPS.pdf" TargetMode="External"/><Relationship Id="rId_hyperlink_2287" Type="http://schemas.openxmlformats.org/officeDocument/2006/relationships/hyperlink" Target="https://www.diodes.com/part/view/DMP34M4SPS" TargetMode="External"/><Relationship Id="rId_hyperlink_2288" Type="http://schemas.openxmlformats.org/officeDocument/2006/relationships/hyperlink" Target="https://www.diodes.com/assets/Datasheets/DMP34M4SPS.pdf" TargetMode="External"/><Relationship Id="rId_hyperlink_2289" Type="http://schemas.openxmlformats.org/officeDocument/2006/relationships/hyperlink" Target="https://www.diodes.com/part/view/DMP4006SPSW" TargetMode="External"/><Relationship Id="rId_hyperlink_2290" Type="http://schemas.openxmlformats.org/officeDocument/2006/relationships/hyperlink" Target="https://www.diodes.com/assets/Datasheets/DMP4006SPSW.pdf" TargetMode="External"/><Relationship Id="rId_hyperlink_2291" Type="http://schemas.openxmlformats.org/officeDocument/2006/relationships/hyperlink" Target="https://www.diodes.com/part/view/DMP4006SPSWQ" TargetMode="External"/><Relationship Id="rId_hyperlink_2292" Type="http://schemas.openxmlformats.org/officeDocument/2006/relationships/hyperlink" Target="https://www.diodes.com/assets/Datasheets/DMP4006SPSWQ.pdf" TargetMode="External"/><Relationship Id="rId_hyperlink_2293" Type="http://schemas.openxmlformats.org/officeDocument/2006/relationships/hyperlink" Target="https://www.diodes.com/part/view/DMP4009SPSW" TargetMode="External"/><Relationship Id="rId_hyperlink_2294" Type="http://schemas.openxmlformats.org/officeDocument/2006/relationships/hyperlink" Target="https://www.diodes.com/assets/Datasheets/DMP4009SPSW.pdf" TargetMode="External"/><Relationship Id="rId_hyperlink_2295" Type="http://schemas.openxmlformats.org/officeDocument/2006/relationships/hyperlink" Target="https://www.diodes.com/part/view/DMP4009SPSWQ" TargetMode="External"/><Relationship Id="rId_hyperlink_2296" Type="http://schemas.openxmlformats.org/officeDocument/2006/relationships/hyperlink" Target="https://www.diodes.com/assets/Datasheets/DMP4009SPSWQ.pdf" TargetMode="External"/><Relationship Id="rId_hyperlink_2297" Type="http://schemas.openxmlformats.org/officeDocument/2006/relationships/hyperlink" Target="https://www.diodes.com/part/view/DMP4009SSS" TargetMode="External"/><Relationship Id="rId_hyperlink_2298" Type="http://schemas.openxmlformats.org/officeDocument/2006/relationships/hyperlink" Target="https://www.diodes.com/assets/Datasheets/DMP4009SSS.pdf" TargetMode="External"/><Relationship Id="rId_hyperlink_2299" Type="http://schemas.openxmlformats.org/officeDocument/2006/relationships/hyperlink" Target="https://www.diodes.com/part/view/DMP4009SSSQ" TargetMode="External"/><Relationship Id="rId_hyperlink_2300" Type="http://schemas.openxmlformats.org/officeDocument/2006/relationships/hyperlink" Target="https://www.diodes.com/assets/Datasheets/DMP4009SSSQ.pdf" TargetMode="External"/><Relationship Id="rId_hyperlink_2301" Type="http://schemas.openxmlformats.org/officeDocument/2006/relationships/hyperlink" Target="https://www.diodes.com/part/view/DMP4010SK3" TargetMode="External"/><Relationship Id="rId_hyperlink_2302" Type="http://schemas.openxmlformats.org/officeDocument/2006/relationships/hyperlink" Target="https://www.diodes.com/assets/Datasheets/DMP4010SK3.pdf" TargetMode="External"/><Relationship Id="rId_hyperlink_2303" Type="http://schemas.openxmlformats.org/officeDocument/2006/relationships/hyperlink" Target="https://www.diodes.com/part/view/DMP4010SK3Q" TargetMode="External"/><Relationship Id="rId_hyperlink_2304" Type="http://schemas.openxmlformats.org/officeDocument/2006/relationships/hyperlink" Target="https://www.diodes.com/assets/Datasheets/DMP4010SK3Q.pdf" TargetMode="External"/><Relationship Id="rId_hyperlink_2305" Type="http://schemas.openxmlformats.org/officeDocument/2006/relationships/hyperlink" Target="https://www.diodes.com/part/view/DMP4011SK3" TargetMode="External"/><Relationship Id="rId_hyperlink_2306" Type="http://schemas.openxmlformats.org/officeDocument/2006/relationships/hyperlink" Target="https://www.diodes.com/assets/Datasheets/DMP4011SK3.pdf" TargetMode="External"/><Relationship Id="rId_hyperlink_2307" Type="http://schemas.openxmlformats.org/officeDocument/2006/relationships/hyperlink" Target="https://www.diodes.com/part/view/DMP4011SK3Q" TargetMode="External"/><Relationship Id="rId_hyperlink_2308" Type="http://schemas.openxmlformats.org/officeDocument/2006/relationships/hyperlink" Target="https://www.diodes.com/assets/Datasheets/DMP4011SK3Q.pdf" TargetMode="External"/><Relationship Id="rId_hyperlink_2309" Type="http://schemas.openxmlformats.org/officeDocument/2006/relationships/hyperlink" Target="https://www.diodes.com/part/view/DMP4011SPS" TargetMode="External"/><Relationship Id="rId_hyperlink_2310" Type="http://schemas.openxmlformats.org/officeDocument/2006/relationships/hyperlink" Target="https://www.diodes.com/assets/Datasheets/DMP4011SPS.pdf" TargetMode="External"/><Relationship Id="rId_hyperlink_2311" Type="http://schemas.openxmlformats.org/officeDocument/2006/relationships/hyperlink" Target="https://www.diodes.com/part/view/DMP4011SPSQ" TargetMode="External"/><Relationship Id="rId_hyperlink_2312" Type="http://schemas.openxmlformats.org/officeDocument/2006/relationships/hyperlink" Target="https://www.diodes.com/assets/Datasheets/DMP4011SPSQ.pdf" TargetMode="External"/><Relationship Id="rId_hyperlink_2313" Type="http://schemas.openxmlformats.org/officeDocument/2006/relationships/hyperlink" Target="https://www.diodes.com/part/view/DMP4011SPSWQ" TargetMode="External"/><Relationship Id="rId_hyperlink_2314" Type="http://schemas.openxmlformats.org/officeDocument/2006/relationships/hyperlink" Target="https://www.diodes.com/assets/Datasheets/DMP4011SPSWQ.pdf" TargetMode="External"/><Relationship Id="rId_hyperlink_2315" Type="http://schemas.openxmlformats.org/officeDocument/2006/relationships/hyperlink" Target="https://www.diodes.com/part/view/DMP4013LFG" TargetMode="External"/><Relationship Id="rId_hyperlink_2316" Type="http://schemas.openxmlformats.org/officeDocument/2006/relationships/hyperlink" Target="https://www.diodes.com/assets/Datasheets/DMP4013LFG.pdf" TargetMode="External"/><Relationship Id="rId_hyperlink_2317" Type="http://schemas.openxmlformats.org/officeDocument/2006/relationships/hyperlink" Target="https://www.diodes.com/part/view/DMP4013LFGQ" TargetMode="External"/><Relationship Id="rId_hyperlink_2318" Type="http://schemas.openxmlformats.org/officeDocument/2006/relationships/hyperlink" Target="https://www.diodes.com/assets/Datasheets/DMP4013LFGQ.pdf" TargetMode="External"/><Relationship Id="rId_hyperlink_2319" Type="http://schemas.openxmlformats.org/officeDocument/2006/relationships/hyperlink" Target="https://www.diodes.com/part/view/DMP4013SPS" TargetMode="External"/><Relationship Id="rId_hyperlink_2320" Type="http://schemas.openxmlformats.org/officeDocument/2006/relationships/hyperlink" Target="https://www.diodes.com/assets/Datasheets/DMP4013SPS.pdf" TargetMode="External"/><Relationship Id="rId_hyperlink_2321" Type="http://schemas.openxmlformats.org/officeDocument/2006/relationships/hyperlink" Target="https://www.diodes.com/part/view/DMP4013SPSQ" TargetMode="External"/><Relationship Id="rId_hyperlink_2322" Type="http://schemas.openxmlformats.org/officeDocument/2006/relationships/hyperlink" Target="https://www.diodes.com/assets/Datasheets/DMP4013SPSQ.pdf" TargetMode="External"/><Relationship Id="rId_hyperlink_2323" Type="http://schemas.openxmlformats.org/officeDocument/2006/relationships/hyperlink" Target="https://www.diodes.com/part/view/DMP4013SPSWQ" TargetMode="External"/><Relationship Id="rId_hyperlink_2324" Type="http://schemas.openxmlformats.org/officeDocument/2006/relationships/hyperlink" Target="https://www.diodes.com/assets/Datasheets/DMP4013SPSWQ.pdf" TargetMode="External"/><Relationship Id="rId_hyperlink_2325" Type="http://schemas.openxmlformats.org/officeDocument/2006/relationships/hyperlink" Target="https://www.diodes.com/part/view/DMP4015SK3" TargetMode="External"/><Relationship Id="rId_hyperlink_2326" Type="http://schemas.openxmlformats.org/officeDocument/2006/relationships/hyperlink" Target="https://www.diodes.com/assets/Datasheets/DMP4015SK3.pdf" TargetMode="External"/><Relationship Id="rId_hyperlink_2327" Type="http://schemas.openxmlformats.org/officeDocument/2006/relationships/hyperlink" Target="https://www.diodes.com/part/view/DMP4015SK3Q" TargetMode="External"/><Relationship Id="rId_hyperlink_2328" Type="http://schemas.openxmlformats.org/officeDocument/2006/relationships/hyperlink" Target="https://www.diodes.com/assets/Datasheets/DMP4015SK3Q.pdf" TargetMode="External"/><Relationship Id="rId_hyperlink_2329" Type="http://schemas.openxmlformats.org/officeDocument/2006/relationships/hyperlink" Target="https://www.diodes.com/part/view/DMP4015SPS" TargetMode="External"/><Relationship Id="rId_hyperlink_2330" Type="http://schemas.openxmlformats.org/officeDocument/2006/relationships/hyperlink" Target="https://www.diodes.com/assets/Datasheets/DMP4015SPS.pdf" TargetMode="External"/><Relationship Id="rId_hyperlink_2331" Type="http://schemas.openxmlformats.org/officeDocument/2006/relationships/hyperlink" Target="https://www.diodes.com/part/view/DMP4015SPSQ" TargetMode="External"/><Relationship Id="rId_hyperlink_2332" Type="http://schemas.openxmlformats.org/officeDocument/2006/relationships/hyperlink" Target="https://www.diodes.com/assets/Datasheets/DMP4015SPSQ.pdf" TargetMode="External"/><Relationship Id="rId_hyperlink_2333" Type="http://schemas.openxmlformats.org/officeDocument/2006/relationships/hyperlink" Target="https://www.diodes.com/part/view/DMP4015SPSWQ" TargetMode="External"/><Relationship Id="rId_hyperlink_2334" Type="http://schemas.openxmlformats.org/officeDocument/2006/relationships/hyperlink" Target="https://www.diodes.com/assets/Datasheets/DMP4015SPSWQ.pdf" TargetMode="External"/><Relationship Id="rId_hyperlink_2335" Type="http://schemas.openxmlformats.org/officeDocument/2006/relationships/hyperlink" Target="https://www.diodes.com/part/view/DMP4015SSS" TargetMode="External"/><Relationship Id="rId_hyperlink_2336" Type="http://schemas.openxmlformats.org/officeDocument/2006/relationships/hyperlink" Target="https://www.diodes.com/assets/Datasheets/DMP4015SSS.pdf" TargetMode="External"/><Relationship Id="rId_hyperlink_2337" Type="http://schemas.openxmlformats.org/officeDocument/2006/relationships/hyperlink" Target="https://www.diodes.com/part/view/DMP4015SSSQ" TargetMode="External"/><Relationship Id="rId_hyperlink_2338" Type="http://schemas.openxmlformats.org/officeDocument/2006/relationships/hyperlink" Target="https://www.diodes.com/assets/Datasheets/DMP4015SSSQ.pdf" TargetMode="External"/><Relationship Id="rId_hyperlink_2339" Type="http://schemas.openxmlformats.org/officeDocument/2006/relationships/hyperlink" Target="https://www.diodes.com/part/view/DMP4016SK3" TargetMode="External"/><Relationship Id="rId_hyperlink_2340" Type="http://schemas.openxmlformats.org/officeDocument/2006/relationships/hyperlink" Target="https://www.diodes.com/assets/Datasheets/DMP4016SK3.pdf" TargetMode="External"/><Relationship Id="rId_hyperlink_2341" Type="http://schemas.openxmlformats.org/officeDocument/2006/relationships/hyperlink" Target="https://www.diodes.com/part/view/DMP4016SK3Q" TargetMode="External"/><Relationship Id="rId_hyperlink_2342" Type="http://schemas.openxmlformats.org/officeDocument/2006/relationships/hyperlink" Target="https://www.diodes.com/assets/Datasheets/DMP4016SK3Q.pdf" TargetMode="External"/><Relationship Id="rId_hyperlink_2343" Type="http://schemas.openxmlformats.org/officeDocument/2006/relationships/hyperlink" Target="https://www.diodes.com/part/view/DMP4016SPSW" TargetMode="External"/><Relationship Id="rId_hyperlink_2344" Type="http://schemas.openxmlformats.org/officeDocument/2006/relationships/hyperlink" Target="https://www.diodes.com/assets/Datasheets/DMP4016SPSW.pdf" TargetMode="External"/><Relationship Id="rId_hyperlink_2345" Type="http://schemas.openxmlformats.org/officeDocument/2006/relationships/hyperlink" Target="https://www.diodes.com/part/view/DMP4016SPSWQ" TargetMode="External"/><Relationship Id="rId_hyperlink_2346" Type="http://schemas.openxmlformats.org/officeDocument/2006/relationships/hyperlink" Target="https://www.diodes.com/assets/Datasheets/DMP4016SPSWQ.pdf" TargetMode="External"/><Relationship Id="rId_hyperlink_2347" Type="http://schemas.openxmlformats.org/officeDocument/2006/relationships/hyperlink" Target="https://www.diodes.com/part/view/DMP4016SSS" TargetMode="External"/><Relationship Id="rId_hyperlink_2348" Type="http://schemas.openxmlformats.org/officeDocument/2006/relationships/hyperlink" Target="https://www.diodes.com/assets/Datasheets/DMP4016SSS.pdf" TargetMode="External"/><Relationship Id="rId_hyperlink_2349" Type="http://schemas.openxmlformats.org/officeDocument/2006/relationships/hyperlink" Target="https://www.diodes.com/part/view/DMP4016SSSQ" TargetMode="External"/><Relationship Id="rId_hyperlink_2350" Type="http://schemas.openxmlformats.org/officeDocument/2006/relationships/hyperlink" Target="https://www.diodes.com/assets/Datasheets/DMP4016SSSQ.pdf" TargetMode="External"/><Relationship Id="rId_hyperlink_2351" Type="http://schemas.openxmlformats.org/officeDocument/2006/relationships/hyperlink" Target="https://www.diodes.com/part/view/DMP4025LK3Q" TargetMode="External"/><Relationship Id="rId_hyperlink_2352" Type="http://schemas.openxmlformats.org/officeDocument/2006/relationships/hyperlink" Target="https://www.diodes.com/assets/Datasheets/DMP4025LK3Q.pdf" TargetMode="External"/><Relationship Id="rId_hyperlink_2353" Type="http://schemas.openxmlformats.org/officeDocument/2006/relationships/hyperlink" Target="https://www.diodes.com/part/view/DMP4025LSS" TargetMode="External"/><Relationship Id="rId_hyperlink_2354" Type="http://schemas.openxmlformats.org/officeDocument/2006/relationships/hyperlink" Target="https://www.diodes.com/assets/Datasheets/DMP4025LSS.pdf" TargetMode="External"/><Relationship Id="rId_hyperlink_2355" Type="http://schemas.openxmlformats.org/officeDocument/2006/relationships/hyperlink" Target="https://www.diodes.com/part/view/DMP4025LSSQ" TargetMode="External"/><Relationship Id="rId_hyperlink_2356" Type="http://schemas.openxmlformats.org/officeDocument/2006/relationships/hyperlink" Target="https://www.diodes.com/assets/Datasheets/DMP4025LSSQ.pdf" TargetMode="External"/><Relationship Id="rId_hyperlink_2357" Type="http://schemas.openxmlformats.org/officeDocument/2006/relationships/hyperlink" Target="https://www.diodes.com/part/view/DMP4026LK3" TargetMode="External"/><Relationship Id="rId_hyperlink_2358" Type="http://schemas.openxmlformats.org/officeDocument/2006/relationships/hyperlink" Target="https://www.diodes.com/assets/Datasheets/DMP4026LK3.pdf" TargetMode="External"/><Relationship Id="rId_hyperlink_2359" Type="http://schemas.openxmlformats.org/officeDocument/2006/relationships/hyperlink" Target="https://www.diodes.com/part/view/DMP4026LK3Q" TargetMode="External"/><Relationship Id="rId_hyperlink_2360" Type="http://schemas.openxmlformats.org/officeDocument/2006/relationships/hyperlink" Target="https://www.diodes.com/assets/Datasheets/DMP4026LK3Q.pdf" TargetMode="External"/><Relationship Id="rId_hyperlink_2361" Type="http://schemas.openxmlformats.org/officeDocument/2006/relationships/hyperlink" Target="https://www.diodes.com/part/view/DMP4026LSD" TargetMode="External"/><Relationship Id="rId_hyperlink_2362" Type="http://schemas.openxmlformats.org/officeDocument/2006/relationships/hyperlink" Target="https://www.diodes.com/assets/Datasheets/DMP4026LSD.pdf" TargetMode="External"/><Relationship Id="rId_hyperlink_2363" Type="http://schemas.openxmlformats.org/officeDocument/2006/relationships/hyperlink" Target="https://www.diodes.com/part/view/DMP4026LSDQ" TargetMode="External"/><Relationship Id="rId_hyperlink_2364" Type="http://schemas.openxmlformats.org/officeDocument/2006/relationships/hyperlink" Target="https://www.diodes.com/assets/Datasheets/DMP4026LSDQ.pdf" TargetMode="External"/><Relationship Id="rId_hyperlink_2365" Type="http://schemas.openxmlformats.org/officeDocument/2006/relationships/hyperlink" Target="https://www.diodes.com/part/view/DMP4026LSS" TargetMode="External"/><Relationship Id="rId_hyperlink_2366" Type="http://schemas.openxmlformats.org/officeDocument/2006/relationships/hyperlink" Target="https://www.diodes.com/assets/Datasheets/DMP4026LSS.pdf" TargetMode="External"/><Relationship Id="rId_hyperlink_2367" Type="http://schemas.openxmlformats.org/officeDocument/2006/relationships/hyperlink" Target="https://www.diodes.com/part/view/DMP4026LSSQ" TargetMode="External"/><Relationship Id="rId_hyperlink_2368" Type="http://schemas.openxmlformats.org/officeDocument/2006/relationships/hyperlink" Target="https://www.diodes.com/assets/Datasheets/DMP4026LSSQ.pdf" TargetMode="External"/><Relationship Id="rId_hyperlink_2369" Type="http://schemas.openxmlformats.org/officeDocument/2006/relationships/hyperlink" Target="https://www.diodes.com/part/view/DMP4026SFG" TargetMode="External"/><Relationship Id="rId_hyperlink_2370" Type="http://schemas.openxmlformats.org/officeDocument/2006/relationships/hyperlink" Target="https://www.diodes.com/assets/Datasheets/DMP4026SFG.pdf" TargetMode="External"/><Relationship Id="rId_hyperlink_2371" Type="http://schemas.openxmlformats.org/officeDocument/2006/relationships/hyperlink" Target="https://www.diodes.com/part/view/DMP4026SFGQ" TargetMode="External"/><Relationship Id="rId_hyperlink_2372" Type="http://schemas.openxmlformats.org/officeDocument/2006/relationships/hyperlink" Target="https://www.diodes.com/assets/Datasheets/DMP4026SFGQ.pdf" TargetMode="External"/><Relationship Id="rId_hyperlink_2373" Type="http://schemas.openxmlformats.org/officeDocument/2006/relationships/hyperlink" Target="https://www.diodes.com/part/view/DMP4026SFVW" TargetMode="External"/><Relationship Id="rId_hyperlink_2374" Type="http://schemas.openxmlformats.org/officeDocument/2006/relationships/hyperlink" Target="https://www.diodes.com/assets/Datasheets/DMP4026SFVW.pdf" TargetMode="External"/><Relationship Id="rId_hyperlink_2375" Type="http://schemas.openxmlformats.org/officeDocument/2006/relationships/hyperlink" Target="https://www.diodes.com/part/view/DMP4026SFVWQ" TargetMode="External"/><Relationship Id="rId_hyperlink_2376" Type="http://schemas.openxmlformats.org/officeDocument/2006/relationships/hyperlink" Target="https://www.diodes.com/assets/Datasheets/DMP4026SFVWQ.pdf" TargetMode="External"/><Relationship Id="rId_hyperlink_2377" Type="http://schemas.openxmlformats.org/officeDocument/2006/relationships/hyperlink" Target="https://www.diodes.com/part/view/DMP4047LFDE" TargetMode="External"/><Relationship Id="rId_hyperlink_2378" Type="http://schemas.openxmlformats.org/officeDocument/2006/relationships/hyperlink" Target="https://www.diodes.com/assets/Datasheets/DMP4047LFDE.pdf" TargetMode="External"/><Relationship Id="rId_hyperlink_2379" Type="http://schemas.openxmlformats.org/officeDocument/2006/relationships/hyperlink" Target="https://www.diodes.com/part/view/DMP4047LFDEQ" TargetMode="External"/><Relationship Id="rId_hyperlink_2380" Type="http://schemas.openxmlformats.org/officeDocument/2006/relationships/hyperlink" Target="https://www.diodes.com/assets/Datasheets/DMP4047LFDEQ.pdf" TargetMode="External"/><Relationship Id="rId_hyperlink_2381" Type="http://schemas.openxmlformats.org/officeDocument/2006/relationships/hyperlink" Target="https://www.diodes.com/part/view/DMP4047SK3" TargetMode="External"/><Relationship Id="rId_hyperlink_2382" Type="http://schemas.openxmlformats.org/officeDocument/2006/relationships/hyperlink" Target="https://www.diodes.com/assets/Datasheets/DMP4047SK3.pdf" TargetMode="External"/><Relationship Id="rId_hyperlink_2383" Type="http://schemas.openxmlformats.org/officeDocument/2006/relationships/hyperlink" Target="https://www.diodes.com/part/view/DMP4047SSD" TargetMode="External"/><Relationship Id="rId_hyperlink_2384" Type="http://schemas.openxmlformats.org/officeDocument/2006/relationships/hyperlink" Target="https://www.diodes.com/assets/Datasheets/DMP4047SSD.pdf" TargetMode="External"/><Relationship Id="rId_hyperlink_2385" Type="http://schemas.openxmlformats.org/officeDocument/2006/relationships/hyperlink" Target="https://www.diodes.com/part/view/DMP4047SSDQ" TargetMode="External"/><Relationship Id="rId_hyperlink_2386" Type="http://schemas.openxmlformats.org/officeDocument/2006/relationships/hyperlink" Target="https://www.diodes.com/assets/Datasheets/DMP4047SSD.pdf" TargetMode="External"/><Relationship Id="rId_hyperlink_2387" Type="http://schemas.openxmlformats.org/officeDocument/2006/relationships/hyperlink" Target="https://www.diodes.com/part/view/DMP4050SSD" TargetMode="External"/><Relationship Id="rId_hyperlink_2388" Type="http://schemas.openxmlformats.org/officeDocument/2006/relationships/hyperlink" Target="https://www.diodes.com/assets/Datasheets/DMP4050SSD.pdf" TargetMode="External"/><Relationship Id="rId_hyperlink_2389" Type="http://schemas.openxmlformats.org/officeDocument/2006/relationships/hyperlink" Target="https://www.diodes.com/part/view/DMP4050SSDQ" TargetMode="External"/><Relationship Id="rId_hyperlink_2390" Type="http://schemas.openxmlformats.org/officeDocument/2006/relationships/hyperlink" Target="https://www.diodes.com/assets/Datasheets/DMP4050SSD.pdf" TargetMode="External"/><Relationship Id="rId_hyperlink_2391" Type="http://schemas.openxmlformats.org/officeDocument/2006/relationships/hyperlink" Target="https://www.diodes.com/part/view/DMP4050SSS" TargetMode="External"/><Relationship Id="rId_hyperlink_2392" Type="http://schemas.openxmlformats.org/officeDocument/2006/relationships/hyperlink" Target="https://www.diodes.com/assets/Datasheets/DMP4050SSS.pdf" TargetMode="External"/><Relationship Id="rId_hyperlink_2393" Type="http://schemas.openxmlformats.org/officeDocument/2006/relationships/hyperlink" Target="https://www.diodes.com/part/view/DMP4051LK3" TargetMode="External"/><Relationship Id="rId_hyperlink_2394" Type="http://schemas.openxmlformats.org/officeDocument/2006/relationships/hyperlink" Target="https://www.diodes.com/assets/Datasheets/DMP4051LK3.pdf" TargetMode="External"/><Relationship Id="rId_hyperlink_2395" Type="http://schemas.openxmlformats.org/officeDocument/2006/relationships/hyperlink" Target="https://www.diodes.com/part/view/DMP4065S" TargetMode="External"/><Relationship Id="rId_hyperlink_2396" Type="http://schemas.openxmlformats.org/officeDocument/2006/relationships/hyperlink" Target="https://www.diodes.com/assets/Datasheets/DMP4065S.pdf" TargetMode="External"/><Relationship Id="rId_hyperlink_2397" Type="http://schemas.openxmlformats.org/officeDocument/2006/relationships/hyperlink" Target="https://www.diodes.com/part/view/DMP4065SK3" TargetMode="External"/><Relationship Id="rId_hyperlink_2398" Type="http://schemas.openxmlformats.org/officeDocument/2006/relationships/hyperlink" Target="https://www.diodes.com/assets/Datasheets/DMP4065SK3.pdf" TargetMode="External"/><Relationship Id="rId_hyperlink_2399" Type="http://schemas.openxmlformats.org/officeDocument/2006/relationships/hyperlink" Target="https://www.diodes.com/part/view/DMP4065SQ" TargetMode="External"/><Relationship Id="rId_hyperlink_2400" Type="http://schemas.openxmlformats.org/officeDocument/2006/relationships/hyperlink" Target="https://www.diodes.com/assets/Datasheets/DMP4065SQ.pdf" TargetMode="External"/><Relationship Id="rId_hyperlink_2401" Type="http://schemas.openxmlformats.org/officeDocument/2006/relationships/hyperlink" Target="https://www.diodes.com/part/view/DMP45H150DHE" TargetMode="External"/><Relationship Id="rId_hyperlink_2402" Type="http://schemas.openxmlformats.org/officeDocument/2006/relationships/hyperlink" Target="https://www.diodes.com/assets/Datasheets/DMP45H150DHE.pdf" TargetMode="External"/><Relationship Id="rId_hyperlink_2403" Type="http://schemas.openxmlformats.org/officeDocument/2006/relationships/hyperlink" Target="https://www.diodes.com/part/view/DMP45H21DHE" TargetMode="External"/><Relationship Id="rId_hyperlink_2404" Type="http://schemas.openxmlformats.org/officeDocument/2006/relationships/hyperlink" Target="https://www.diodes.com/assets/Datasheets/DMP45H21DHE.pdf" TargetMode="External"/><Relationship Id="rId_hyperlink_2405" Type="http://schemas.openxmlformats.org/officeDocument/2006/relationships/hyperlink" Target="https://www.diodes.com/part/view/DMP45H4D9HJ3" TargetMode="External"/><Relationship Id="rId_hyperlink_2406" Type="http://schemas.openxmlformats.org/officeDocument/2006/relationships/hyperlink" Target="https://www.diodes.com/assets/Datasheets/DMP45H4D9HJ3.pdf" TargetMode="External"/><Relationship Id="rId_hyperlink_2407" Type="http://schemas.openxmlformats.org/officeDocument/2006/relationships/hyperlink" Target="https://www.diodes.com/part/view/DMP45H4D9HK3" TargetMode="External"/><Relationship Id="rId_hyperlink_2408" Type="http://schemas.openxmlformats.org/officeDocument/2006/relationships/hyperlink" Target="https://www.diodes.com/assets/Datasheets/DMP45H4D9HK3.pdf" TargetMode="External"/><Relationship Id="rId_hyperlink_2409" Type="http://schemas.openxmlformats.org/officeDocument/2006/relationships/hyperlink" Target="https://www.diodes.com/part/view/DMP510DL" TargetMode="External"/><Relationship Id="rId_hyperlink_2410" Type="http://schemas.openxmlformats.org/officeDocument/2006/relationships/hyperlink" Target="https://www.diodes.com/assets/Datasheets/DMP510DL.pdf" TargetMode="External"/><Relationship Id="rId_hyperlink_2411" Type="http://schemas.openxmlformats.org/officeDocument/2006/relationships/hyperlink" Target="https://www.diodes.com/part/view/DMP510DLQ" TargetMode="External"/><Relationship Id="rId_hyperlink_2412" Type="http://schemas.openxmlformats.org/officeDocument/2006/relationships/hyperlink" Target="https://www.diodes.com/assets/Datasheets/DMP510DLQ.pdf" TargetMode="External"/><Relationship Id="rId_hyperlink_2413" Type="http://schemas.openxmlformats.org/officeDocument/2006/relationships/hyperlink" Target="https://www.diodes.com/part/view/DMP510DLW" TargetMode="External"/><Relationship Id="rId_hyperlink_2414" Type="http://schemas.openxmlformats.org/officeDocument/2006/relationships/hyperlink" Target="https://www.diodes.com/assets/Datasheets/DMP510DLW.pdf" TargetMode="External"/><Relationship Id="rId_hyperlink_2415" Type="http://schemas.openxmlformats.org/officeDocument/2006/relationships/hyperlink" Target="https://www.diodes.com/part/view/DMP56D0UFB" TargetMode="External"/><Relationship Id="rId_hyperlink_2416" Type="http://schemas.openxmlformats.org/officeDocument/2006/relationships/hyperlink" Target="https://www.diodes.com/assets/Datasheets/DMP56D0UFB.pdf" TargetMode="External"/><Relationship Id="rId_hyperlink_2417" Type="http://schemas.openxmlformats.org/officeDocument/2006/relationships/hyperlink" Target="https://www.diodes.com/part/view/DMP56D0UV" TargetMode="External"/><Relationship Id="rId_hyperlink_2418" Type="http://schemas.openxmlformats.org/officeDocument/2006/relationships/hyperlink" Target="https://www.diodes.com/assets/Datasheets/DMP56D0UV.pdf" TargetMode="External"/><Relationship Id="rId_hyperlink_2419" Type="http://schemas.openxmlformats.org/officeDocument/2006/relationships/hyperlink" Target="https://www.diodes.com/part/view/DMP58D1LV" TargetMode="External"/><Relationship Id="rId_hyperlink_2420" Type="http://schemas.openxmlformats.org/officeDocument/2006/relationships/hyperlink" Target="https://www.diodes.com/assets/Datasheets/DMP58D1LV.pdf" TargetMode="External"/><Relationship Id="rId_hyperlink_2421" Type="http://schemas.openxmlformats.org/officeDocument/2006/relationships/hyperlink" Target="https://www.diodes.com/part/view/DMP58D1LVQ" TargetMode="External"/><Relationship Id="rId_hyperlink_2422" Type="http://schemas.openxmlformats.org/officeDocument/2006/relationships/hyperlink" Target="https://www.diodes.com/assets/Datasheets/DMP58D1LVQ.pdf" TargetMode="External"/><Relationship Id="rId_hyperlink_2423" Type="http://schemas.openxmlformats.org/officeDocument/2006/relationships/hyperlink" Target="https://www.diodes.com/part/view/DMP6018LPS" TargetMode="External"/><Relationship Id="rId_hyperlink_2424" Type="http://schemas.openxmlformats.org/officeDocument/2006/relationships/hyperlink" Target="https://www.diodes.com/assets/Datasheets/DMP6018LPS.pdf" TargetMode="External"/><Relationship Id="rId_hyperlink_2425" Type="http://schemas.openxmlformats.org/officeDocument/2006/relationships/hyperlink" Target="https://www.diodes.com/part/view/DMP6018LPSQ" TargetMode="External"/><Relationship Id="rId_hyperlink_2426" Type="http://schemas.openxmlformats.org/officeDocument/2006/relationships/hyperlink" Target="https://www.diodes.com/assets/Datasheets/DMP6018LPSQ.pdf" TargetMode="External"/><Relationship Id="rId_hyperlink_2427" Type="http://schemas.openxmlformats.org/officeDocument/2006/relationships/hyperlink" Target="https://www.diodes.com/part/view/DMP6023LE" TargetMode="External"/><Relationship Id="rId_hyperlink_2428" Type="http://schemas.openxmlformats.org/officeDocument/2006/relationships/hyperlink" Target="https://www.diodes.com/assets/Datasheets/DMP6023LE.pdf" TargetMode="External"/><Relationship Id="rId_hyperlink_2429" Type="http://schemas.openxmlformats.org/officeDocument/2006/relationships/hyperlink" Target="https://www.diodes.com/part/view/DMP6023LEQ" TargetMode="External"/><Relationship Id="rId_hyperlink_2430" Type="http://schemas.openxmlformats.org/officeDocument/2006/relationships/hyperlink" Target="https://www.diodes.com/assets/Datasheets/DMP6023LEQ.pdf" TargetMode="External"/><Relationship Id="rId_hyperlink_2431" Type="http://schemas.openxmlformats.org/officeDocument/2006/relationships/hyperlink" Target="https://www.diodes.com/part/view/DMP6023LFG" TargetMode="External"/><Relationship Id="rId_hyperlink_2432" Type="http://schemas.openxmlformats.org/officeDocument/2006/relationships/hyperlink" Target="https://www.diodes.com/assets/Datasheets/DMP6023LFG.pdf" TargetMode="External"/><Relationship Id="rId_hyperlink_2433" Type="http://schemas.openxmlformats.org/officeDocument/2006/relationships/hyperlink" Target="https://www.diodes.com/part/view/DMP6023LFGQ" TargetMode="External"/><Relationship Id="rId_hyperlink_2434" Type="http://schemas.openxmlformats.org/officeDocument/2006/relationships/hyperlink" Target="https://www.diodes.com/assets/Datasheets/DMP6023LFGQ.pdf" TargetMode="External"/><Relationship Id="rId_hyperlink_2435" Type="http://schemas.openxmlformats.org/officeDocument/2006/relationships/hyperlink" Target="https://www.diodes.com/part/view/DMP6023LSS" TargetMode="External"/><Relationship Id="rId_hyperlink_2436" Type="http://schemas.openxmlformats.org/officeDocument/2006/relationships/hyperlink" Target="https://www.diodes.com/assets/Datasheets/DMP6023LSS.pdf" TargetMode="External"/><Relationship Id="rId_hyperlink_2437" Type="http://schemas.openxmlformats.org/officeDocument/2006/relationships/hyperlink" Target="https://www.diodes.com/part/view/DMP6050SFG" TargetMode="External"/><Relationship Id="rId_hyperlink_2438" Type="http://schemas.openxmlformats.org/officeDocument/2006/relationships/hyperlink" Target="https://www.diodes.com/assets/Datasheets/DMP6050SFG.pdf" TargetMode="External"/><Relationship Id="rId_hyperlink_2439" Type="http://schemas.openxmlformats.org/officeDocument/2006/relationships/hyperlink" Target="https://www.diodes.com/part/view/DMP6050SPS" TargetMode="External"/><Relationship Id="rId_hyperlink_2440" Type="http://schemas.openxmlformats.org/officeDocument/2006/relationships/hyperlink" Target="https://www.diodes.com/assets/Datasheets/DMP6050SPS.pdf" TargetMode="External"/><Relationship Id="rId_hyperlink_2441" Type="http://schemas.openxmlformats.org/officeDocument/2006/relationships/hyperlink" Target="https://www.diodes.com/part/view/DMP6050SSD" TargetMode="External"/><Relationship Id="rId_hyperlink_2442" Type="http://schemas.openxmlformats.org/officeDocument/2006/relationships/hyperlink" Target="https://www.diodes.com/assets/Datasheets/DMP6050SSD.pdf" TargetMode="External"/><Relationship Id="rId_hyperlink_2443" Type="http://schemas.openxmlformats.org/officeDocument/2006/relationships/hyperlink" Target="https://www.diodes.com/part/view/DMP610DL" TargetMode="External"/><Relationship Id="rId_hyperlink_2444" Type="http://schemas.openxmlformats.org/officeDocument/2006/relationships/hyperlink" Target="https://www.diodes.com/assets/Datasheets/DMP610DL.pdf" TargetMode="External"/><Relationship Id="rId_hyperlink_2445" Type="http://schemas.openxmlformats.org/officeDocument/2006/relationships/hyperlink" Target="https://www.diodes.com/part/view/DMP610DLQ" TargetMode="External"/><Relationship Id="rId_hyperlink_2446" Type="http://schemas.openxmlformats.org/officeDocument/2006/relationships/hyperlink" Target="https://www.diodes.com/assets/Datasheets/DMP610DLQ.pdf" TargetMode="External"/><Relationship Id="rId_hyperlink_2447" Type="http://schemas.openxmlformats.org/officeDocument/2006/relationships/hyperlink" Target="https://www.diodes.com/part/view/DMP6110SFDF" TargetMode="External"/><Relationship Id="rId_hyperlink_2448" Type="http://schemas.openxmlformats.org/officeDocument/2006/relationships/hyperlink" Target="https://www.diodes.com/assets/Datasheets/DMP6110SFDF.pdf" TargetMode="External"/><Relationship Id="rId_hyperlink_2449" Type="http://schemas.openxmlformats.org/officeDocument/2006/relationships/hyperlink" Target="https://www.diodes.com/part/view/DMP6110SFDFQ" TargetMode="External"/><Relationship Id="rId_hyperlink_2450" Type="http://schemas.openxmlformats.org/officeDocument/2006/relationships/hyperlink" Target="https://www.diodes.com/assets/Datasheets/DMP6110SFDFQ.pdf" TargetMode="External"/><Relationship Id="rId_hyperlink_2451" Type="http://schemas.openxmlformats.org/officeDocument/2006/relationships/hyperlink" Target="https://www.diodes.com/part/view/DMP6110SSD" TargetMode="External"/><Relationship Id="rId_hyperlink_2452" Type="http://schemas.openxmlformats.org/officeDocument/2006/relationships/hyperlink" Target="https://www.diodes.com/assets/Datasheets/DMP6110SSD.pdf" TargetMode="External"/><Relationship Id="rId_hyperlink_2453" Type="http://schemas.openxmlformats.org/officeDocument/2006/relationships/hyperlink" Target="https://www.diodes.com/part/view/DMP6110SSDQ" TargetMode="External"/><Relationship Id="rId_hyperlink_2454" Type="http://schemas.openxmlformats.org/officeDocument/2006/relationships/hyperlink" Target="https://www.diodes.com/assets/Datasheets/DMP6110SSDQ.pdf" TargetMode="External"/><Relationship Id="rId_hyperlink_2455" Type="http://schemas.openxmlformats.org/officeDocument/2006/relationships/hyperlink" Target="https://www.diodes.com/part/view/DMP6110SSS" TargetMode="External"/><Relationship Id="rId_hyperlink_2456" Type="http://schemas.openxmlformats.org/officeDocument/2006/relationships/hyperlink" Target="https://www.diodes.com/assets/Datasheets/DMP6110SSS.pdf" TargetMode="External"/><Relationship Id="rId_hyperlink_2457" Type="http://schemas.openxmlformats.org/officeDocument/2006/relationships/hyperlink" Target="https://www.diodes.com/part/view/DMP6110SSSQ" TargetMode="External"/><Relationship Id="rId_hyperlink_2458" Type="http://schemas.openxmlformats.org/officeDocument/2006/relationships/hyperlink" Target="https://www.diodes.com/assets/Datasheets/DMP6110SSSQ.pdf" TargetMode="External"/><Relationship Id="rId_hyperlink_2459" Type="http://schemas.openxmlformats.org/officeDocument/2006/relationships/hyperlink" Target="https://www.diodes.com/part/view/DMP6110SVT" TargetMode="External"/><Relationship Id="rId_hyperlink_2460" Type="http://schemas.openxmlformats.org/officeDocument/2006/relationships/hyperlink" Target="https://www.diodes.com/assets/Datasheets/DMP6110SVT.pdf" TargetMode="External"/><Relationship Id="rId_hyperlink_2461" Type="http://schemas.openxmlformats.org/officeDocument/2006/relationships/hyperlink" Target="https://www.diodes.com/part/view/DMP6110SVTQ" TargetMode="External"/><Relationship Id="rId_hyperlink_2462" Type="http://schemas.openxmlformats.org/officeDocument/2006/relationships/hyperlink" Target="https://www.diodes.com/assets/Datasheets/DMP6110SVTQ.pdf" TargetMode="External"/><Relationship Id="rId_hyperlink_2463" Type="http://schemas.openxmlformats.org/officeDocument/2006/relationships/hyperlink" Target="https://www.diodes.com/part/view/DMP6111SVT" TargetMode="External"/><Relationship Id="rId_hyperlink_2464" Type="http://schemas.openxmlformats.org/officeDocument/2006/relationships/hyperlink" Target="https://www.diodes.com/assets/Datasheets/DMP6111SVT.pdf" TargetMode="External"/><Relationship Id="rId_hyperlink_2465" Type="http://schemas.openxmlformats.org/officeDocument/2006/relationships/hyperlink" Target="https://www.diodes.com/part/view/DMP6111SVTQ" TargetMode="External"/><Relationship Id="rId_hyperlink_2466" Type="http://schemas.openxmlformats.org/officeDocument/2006/relationships/hyperlink" Target="https://www.diodes.com/assets/Datasheets/DMP6111SVTQ.pdf" TargetMode="External"/><Relationship Id="rId_hyperlink_2467" Type="http://schemas.openxmlformats.org/officeDocument/2006/relationships/hyperlink" Target="https://www.diodes.com/part/view/DMP6180SK3" TargetMode="External"/><Relationship Id="rId_hyperlink_2468" Type="http://schemas.openxmlformats.org/officeDocument/2006/relationships/hyperlink" Target="https://www.diodes.com/assets/Datasheets/DMP6180SK3.pdf" TargetMode="External"/><Relationship Id="rId_hyperlink_2469" Type="http://schemas.openxmlformats.org/officeDocument/2006/relationships/hyperlink" Target="https://www.diodes.com/part/view/DMP6180SK3Q" TargetMode="External"/><Relationship Id="rId_hyperlink_2470" Type="http://schemas.openxmlformats.org/officeDocument/2006/relationships/hyperlink" Target="https://www.diodes.com/assets/Datasheets/DMP6180SK3Q.pdf" TargetMode="External"/><Relationship Id="rId_hyperlink_2471" Type="http://schemas.openxmlformats.org/officeDocument/2006/relationships/hyperlink" Target="https://www.diodes.com/part/view/DMP6185SE" TargetMode="External"/><Relationship Id="rId_hyperlink_2472" Type="http://schemas.openxmlformats.org/officeDocument/2006/relationships/hyperlink" Target="https://www.diodes.com/assets/Datasheets/DMP6185SE.pdf" TargetMode="External"/><Relationship Id="rId_hyperlink_2473" Type="http://schemas.openxmlformats.org/officeDocument/2006/relationships/hyperlink" Target="https://www.diodes.com/part/view/DMP6185SEQ" TargetMode="External"/><Relationship Id="rId_hyperlink_2474" Type="http://schemas.openxmlformats.org/officeDocument/2006/relationships/hyperlink" Target="https://www.diodes.com/assets/Datasheets/DMP6185SEQ.pdf" TargetMode="External"/><Relationship Id="rId_hyperlink_2475" Type="http://schemas.openxmlformats.org/officeDocument/2006/relationships/hyperlink" Target="https://www.diodes.com/part/view/DMP6185SK3" TargetMode="External"/><Relationship Id="rId_hyperlink_2476" Type="http://schemas.openxmlformats.org/officeDocument/2006/relationships/hyperlink" Target="https://www.diodes.com/assets/Datasheets/DMP6185SK3.pdf" TargetMode="External"/><Relationship Id="rId_hyperlink_2477" Type="http://schemas.openxmlformats.org/officeDocument/2006/relationships/hyperlink" Target="https://www.diodes.com/part/view/DMP6250SE" TargetMode="External"/><Relationship Id="rId_hyperlink_2478" Type="http://schemas.openxmlformats.org/officeDocument/2006/relationships/hyperlink" Target="https://www.diodes.com/assets/Datasheets/DMP6250SE.pdf" TargetMode="External"/><Relationship Id="rId_hyperlink_2479" Type="http://schemas.openxmlformats.org/officeDocument/2006/relationships/hyperlink" Target="https://www.diodes.com/part/view/DMP6250SEQ" TargetMode="External"/><Relationship Id="rId_hyperlink_2480" Type="http://schemas.openxmlformats.org/officeDocument/2006/relationships/hyperlink" Target="https://www.diodes.com/assets/Datasheets/DMP6250SEQ.pdf" TargetMode="External"/><Relationship Id="rId_hyperlink_2481" Type="http://schemas.openxmlformats.org/officeDocument/2006/relationships/hyperlink" Target="https://www.diodes.com/part/view/DMP6250SFDF" TargetMode="External"/><Relationship Id="rId_hyperlink_2482" Type="http://schemas.openxmlformats.org/officeDocument/2006/relationships/hyperlink" Target="https://www.diodes.com/assets/Datasheets/DMP6250SFDF.pdf" TargetMode="External"/><Relationship Id="rId_hyperlink_2483" Type="http://schemas.openxmlformats.org/officeDocument/2006/relationships/hyperlink" Target="https://www.diodes.com/part/view/DMP6350S" TargetMode="External"/><Relationship Id="rId_hyperlink_2484" Type="http://schemas.openxmlformats.org/officeDocument/2006/relationships/hyperlink" Target="https://www.diodes.com/assets/Datasheets/DMP6350S.pdf" TargetMode="External"/><Relationship Id="rId_hyperlink_2485" Type="http://schemas.openxmlformats.org/officeDocument/2006/relationships/hyperlink" Target="https://www.diodes.com/part/view/DMP6350SQ" TargetMode="External"/><Relationship Id="rId_hyperlink_2486" Type="http://schemas.openxmlformats.org/officeDocument/2006/relationships/hyperlink" Target="https://www.diodes.com/assets/Datasheets/DMP6350SQ.pdf" TargetMode="External"/><Relationship Id="rId_hyperlink_2487" Type="http://schemas.openxmlformats.org/officeDocument/2006/relationships/hyperlink" Target="https://www.diodes.com/part/view/DMP65H11D0HSS" TargetMode="External"/><Relationship Id="rId_hyperlink_2488" Type="http://schemas.openxmlformats.org/officeDocument/2006/relationships/hyperlink" Target="https://www.diodes.com/assets/Datasheets/DMP65H11D0HSS.pdf" TargetMode="External"/><Relationship Id="rId_hyperlink_2489" Type="http://schemas.openxmlformats.org/officeDocument/2006/relationships/hyperlink" Target="https://www.diodes.com/part/view/DMP65H13D0HSS" TargetMode="External"/><Relationship Id="rId_hyperlink_2490" Type="http://schemas.openxmlformats.org/officeDocument/2006/relationships/hyperlink" Target="https://www.diodes.com/assets/Datasheets/DMP65H13D0HSS.pdf" TargetMode="External"/><Relationship Id="rId_hyperlink_2491" Type="http://schemas.openxmlformats.org/officeDocument/2006/relationships/hyperlink" Target="https://www.diodes.com/part/view/DMP65H20D0HSS" TargetMode="External"/><Relationship Id="rId_hyperlink_2492" Type="http://schemas.openxmlformats.org/officeDocument/2006/relationships/hyperlink" Target="https://www.diodes.com/assets/Datasheets/DMP65H20D0HSS.pdf" TargetMode="External"/><Relationship Id="rId_hyperlink_2493" Type="http://schemas.openxmlformats.org/officeDocument/2006/relationships/hyperlink" Target="https://www.diodes.com/part/view/DMP65H9D0HSS" TargetMode="External"/><Relationship Id="rId_hyperlink_2494" Type="http://schemas.openxmlformats.org/officeDocument/2006/relationships/hyperlink" Target="https://www.diodes.com/assets/Datasheets/DMP65H9D0HSS.pdf" TargetMode="External"/><Relationship Id="rId_hyperlink_2495" Type="http://schemas.openxmlformats.org/officeDocument/2006/relationships/hyperlink" Target="https://www.diodes.com/part/view/DMP68D0LFB" TargetMode="External"/><Relationship Id="rId_hyperlink_2496" Type="http://schemas.openxmlformats.org/officeDocument/2006/relationships/hyperlink" Target="https://www.diodes.com/assets/Datasheets/DMP68D0LFB.pdf" TargetMode="External"/><Relationship Id="rId_hyperlink_2497" Type="http://schemas.openxmlformats.org/officeDocument/2006/relationships/hyperlink" Target="https://www.diodes.com/part/view/DMP68D1L" TargetMode="External"/><Relationship Id="rId_hyperlink_2498" Type="http://schemas.openxmlformats.org/officeDocument/2006/relationships/hyperlink" Target="https://www.diodes.com/assets/Datasheets/DMP68D1L.pdf" TargetMode="External"/><Relationship Id="rId_hyperlink_2499" Type="http://schemas.openxmlformats.org/officeDocument/2006/relationships/hyperlink" Target="https://www.diodes.com/part/view/DMP68D1LFB" TargetMode="External"/><Relationship Id="rId_hyperlink_2500" Type="http://schemas.openxmlformats.org/officeDocument/2006/relationships/hyperlink" Target="https://www.diodes.com/assets/Datasheets/DMP68D1LFB.pdf" TargetMode="External"/><Relationship Id="rId_hyperlink_2501" Type="http://schemas.openxmlformats.org/officeDocument/2006/relationships/hyperlink" Target="https://www.diodes.com/part/view/DMP68D1LQ" TargetMode="External"/><Relationship Id="rId_hyperlink_2502" Type="http://schemas.openxmlformats.org/officeDocument/2006/relationships/hyperlink" Target="https://www.diodes.com/assets/Datasheets/DMP68D1LQ.pdf" TargetMode="External"/><Relationship Id="rId_hyperlink_2503" Type="http://schemas.openxmlformats.org/officeDocument/2006/relationships/hyperlink" Target="https://www.diodes.com/part/view/DMP68D1LV" TargetMode="External"/><Relationship Id="rId_hyperlink_2504" Type="http://schemas.openxmlformats.org/officeDocument/2006/relationships/hyperlink" Target="https://www.diodes.com/assets/Datasheets/DMP68D1LV.pdf" TargetMode="External"/><Relationship Id="rId_hyperlink_2505" Type="http://schemas.openxmlformats.org/officeDocument/2006/relationships/hyperlink" Target="https://www.diodes.com/part/view/DMP68D1LVQ" TargetMode="External"/><Relationship Id="rId_hyperlink_2506" Type="http://schemas.openxmlformats.org/officeDocument/2006/relationships/hyperlink" Target="https://www.diodes.com/assets/Datasheets/DMP68D1LVQ.pdf" TargetMode="External"/><Relationship Id="rId_hyperlink_2507" Type="http://schemas.openxmlformats.org/officeDocument/2006/relationships/hyperlink" Target="https://www.diodes.com/part/view/DMPH1006UPS" TargetMode="External"/><Relationship Id="rId_hyperlink_2508" Type="http://schemas.openxmlformats.org/officeDocument/2006/relationships/hyperlink" Target="https://www.diodes.com/assets/Datasheets/DMPH1006UPS.pdf" TargetMode="External"/><Relationship Id="rId_hyperlink_2509" Type="http://schemas.openxmlformats.org/officeDocument/2006/relationships/hyperlink" Target="https://www.diodes.com/part/view/DMPH1006UPSQ" TargetMode="External"/><Relationship Id="rId_hyperlink_2510" Type="http://schemas.openxmlformats.org/officeDocument/2006/relationships/hyperlink" Target="https://www.diodes.com/assets/Datasheets/DMPH1006UPSQ.pdf" TargetMode="External"/><Relationship Id="rId_hyperlink_2511" Type="http://schemas.openxmlformats.org/officeDocument/2006/relationships/hyperlink" Target="https://www.diodes.com/part/view/DMPH16M1UPSW" TargetMode="External"/><Relationship Id="rId_hyperlink_2512" Type="http://schemas.openxmlformats.org/officeDocument/2006/relationships/hyperlink" Target="https://www.diodes.com/assets/Datasheets/DMPH16M1UPSW.pdf" TargetMode="External"/><Relationship Id="rId_hyperlink_2513" Type="http://schemas.openxmlformats.org/officeDocument/2006/relationships/hyperlink" Target="https://www.diodes.com/part/view/DMPH2040UVTQ" TargetMode="External"/><Relationship Id="rId_hyperlink_2514" Type="http://schemas.openxmlformats.org/officeDocument/2006/relationships/hyperlink" Target="https://www.diodes.com/assets/Datasheets/DMPH2040UVTQ.pdf" TargetMode="External"/><Relationship Id="rId_hyperlink_2515" Type="http://schemas.openxmlformats.org/officeDocument/2006/relationships/hyperlink" Target="https://www.diodes.com/part/view/DMPH3010LK3" TargetMode="External"/><Relationship Id="rId_hyperlink_2516" Type="http://schemas.openxmlformats.org/officeDocument/2006/relationships/hyperlink" Target="https://www.diodes.com/assets/Datasheets/DMPH3010LK3.pdf" TargetMode="External"/><Relationship Id="rId_hyperlink_2517" Type="http://schemas.openxmlformats.org/officeDocument/2006/relationships/hyperlink" Target="https://www.diodes.com/part/view/DMPH3010LK3Q" TargetMode="External"/><Relationship Id="rId_hyperlink_2518" Type="http://schemas.openxmlformats.org/officeDocument/2006/relationships/hyperlink" Target="https://www.diodes.com/assets/Datasheets/DMPH3010LK3Q.pdf" TargetMode="External"/><Relationship Id="rId_hyperlink_2519" Type="http://schemas.openxmlformats.org/officeDocument/2006/relationships/hyperlink" Target="https://www.diodes.com/part/view/DMPH3010LPS" TargetMode="External"/><Relationship Id="rId_hyperlink_2520" Type="http://schemas.openxmlformats.org/officeDocument/2006/relationships/hyperlink" Target="https://www.diodes.com/assets/Datasheets/DMPH3010LPS.pdf" TargetMode="External"/><Relationship Id="rId_hyperlink_2521" Type="http://schemas.openxmlformats.org/officeDocument/2006/relationships/hyperlink" Target="https://www.diodes.com/part/view/DMPH3010LPSQ" TargetMode="External"/><Relationship Id="rId_hyperlink_2522" Type="http://schemas.openxmlformats.org/officeDocument/2006/relationships/hyperlink" Target="https://www.diodes.com/assets/Datasheets/DMPH3010LPSQ.pdf" TargetMode="External"/><Relationship Id="rId_hyperlink_2523" Type="http://schemas.openxmlformats.org/officeDocument/2006/relationships/hyperlink" Target="https://www.diodes.com/part/view/DMPH33M8SPSW" TargetMode="External"/><Relationship Id="rId_hyperlink_2524" Type="http://schemas.openxmlformats.org/officeDocument/2006/relationships/hyperlink" Target="https://www.diodes.com/assets/Datasheets/DMPH33M8SPSW.pdf" TargetMode="External"/><Relationship Id="rId_hyperlink_2525" Type="http://schemas.openxmlformats.org/officeDocument/2006/relationships/hyperlink" Target="https://www.diodes.com/part/view/DMPH33M8SPSWQ" TargetMode="External"/><Relationship Id="rId_hyperlink_2526" Type="http://schemas.openxmlformats.org/officeDocument/2006/relationships/hyperlink" Target="https://www.diodes.com/assets/Datasheets/DMPH33M8SPSWQ.pdf" TargetMode="External"/><Relationship Id="rId_hyperlink_2527" Type="http://schemas.openxmlformats.org/officeDocument/2006/relationships/hyperlink" Target="https://www.diodes.com/part/view/DMPH4009SPSW" TargetMode="External"/><Relationship Id="rId_hyperlink_2528" Type="http://schemas.openxmlformats.org/officeDocument/2006/relationships/hyperlink" Target="https://www.diodes.com/assets/Datasheets/DMPH4009SPSW.pdf" TargetMode="External"/><Relationship Id="rId_hyperlink_2529" Type="http://schemas.openxmlformats.org/officeDocument/2006/relationships/hyperlink" Target="https://www.diodes.com/part/view/DMPH4009SPSWQ" TargetMode="External"/><Relationship Id="rId_hyperlink_2530" Type="http://schemas.openxmlformats.org/officeDocument/2006/relationships/hyperlink" Target="https://www.diodes.com/assets/Datasheets/DMPH4009SPSWQ.pdf" TargetMode="External"/><Relationship Id="rId_hyperlink_2531" Type="http://schemas.openxmlformats.org/officeDocument/2006/relationships/hyperlink" Target="https://www.diodes.com/part/view/DMPH4009SSS" TargetMode="External"/><Relationship Id="rId_hyperlink_2532" Type="http://schemas.openxmlformats.org/officeDocument/2006/relationships/hyperlink" Target="https://www.diodes.com/assets/Datasheets/DMPH4009SSS.pdf" TargetMode="External"/><Relationship Id="rId_hyperlink_2533" Type="http://schemas.openxmlformats.org/officeDocument/2006/relationships/hyperlink" Target="https://www.diodes.com/part/view/DMPH4009SSSQ" TargetMode="External"/><Relationship Id="rId_hyperlink_2534" Type="http://schemas.openxmlformats.org/officeDocument/2006/relationships/hyperlink" Target="https://www.diodes.com/assets/Datasheets/DMPH4009SSSQ.pdf" TargetMode="External"/><Relationship Id="rId_hyperlink_2535" Type="http://schemas.openxmlformats.org/officeDocument/2006/relationships/hyperlink" Target="https://www.diodes.com/part/view/DMPH4011SK3" TargetMode="External"/><Relationship Id="rId_hyperlink_2536" Type="http://schemas.openxmlformats.org/officeDocument/2006/relationships/hyperlink" Target="https://www.diodes.com/assets/Datasheets/DMPH4011SK3.pdf" TargetMode="External"/><Relationship Id="rId_hyperlink_2537" Type="http://schemas.openxmlformats.org/officeDocument/2006/relationships/hyperlink" Target="https://www.diodes.com/part/view/DMPH4011SK3Q" TargetMode="External"/><Relationship Id="rId_hyperlink_2538" Type="http://schemas.openxmlformats.org/officeDocument/2006/relationships/hyperlink" Target="https://www.diodes.com/assets/Datasheets/DMPH4011SK3Q.pdf" TargetMode="External"/><Relationship Id="rId_hyperlink_2539" Type="http://schemas.openxmlformats.org/officeDocument/2006/relationships/hyperlink" Target="https://www.diodes.com/part/view/DMPH4013SK3" TargetMode="External"/><Relationship Id="rId_hyperlink_2540" Type="http://schemas.openxmlformats.org/officeDocument/2006/relationships/hyperlink" Target="https://www.diodes.com/assets/Datasheets/DMPH4013SK3.pdf" TargetMode="External"/><Relationship Id="rId_hyperlink_2541" Type="http://schemas.openxmlformats.org/officeDocument/2006/relationships/hyperlink" Target="https://www.diodes.com/part/view/DMPH4013SK3Q" TargetMode="External"/><Relationship Id="rId_hyperlink_2542" Type="http://schemas.openxmlformats.org/officeDocument/2006/relationships/hyperlink" Target="https://www.diodes.com/assets/Datasheets/DMPH4013SK3Q.pdf" TargetMode="External"/><Relationship Id="rId_hyperlink_2543" Type="http://schemas.openxmlformats.org/officeDocument/2006/relationships/hyperlink" Target="https://www.diodes.com/part/view/DMPH4013SPSQ" TargetMode="External"/><Relationship Id="rId_hyperlink_2544" Type="http://schemas.openxmlformats.org/officeDocument/2006/relationships/hyperlink" Target="https://www.diodes.com/assets/Datasheets/DMPH4013SPSQ.pdf" TargetMode="External"/><Relationship Id="rId_hyperlink_2545" Type="http://schemas.openxmlformats.org/officeDocument/2006/relationships/hyperlink" Target="https://www.diodes.com/part/view/DMPH4013SPSWQ" TargetMode="External"/><Relationship Id="rId_hyperlink_2546" Type="http://schemas.openxmlformats.org/officeDocument/2006/relationships/hyperlink" Target="https://www.diodes.com/assets/Datasheets/DMPH4013SPSWQ.pdf" TargetMode="External"/><Relationship Id="rId_hyperlink_2547" Type="http://schemas.openxmlformats.org/officeDocument/2006/relationships/hyperlink" Target="https://www.diodes.com/part/view/DMPH4015SK3Q" TargetMode="External"/><Relationship Id="rId_hyperlink_2548" Type="http://schemas.openxmlformats.org/officeDocument/2006/relationships/hyperlink" Target="https://www.diodes.com/assets/Datasheets/DMPH4015SK3Q.pdf" TargetMode="External"/><Relationship Id="rId_hyperlink_2549" Type="http://schemas.openxmlformats.org/officeDocument/2006/relationships/hyperlink" Target="https://www.diodes.com/part/view/DMPH4015SPSQ" TargetMode="External"/><Relationship Id="rId_hyperlink_2550" Type="http://schemas.openxmlformats.org/officeDocument/2006/relationships/hyperlink" Target="https://www.diodes.com/assets/Datasheets/DMPH4015SPSQ.pdf" TargetMode="External"/><Relationship Id="rId_hyperlink_2551" Type="http://schemas.openxmlformats.org/officeDocument/2006/relationships/hyperlink" Target="https://www.diodes.com/part/view/DMPH4015SSSQ" TargetMode="External"/><Relationship Id="rId_hyperlink_2552" Type="http://schemas.openxmlformats.org/officeDocument/2006/relationships/hyperlink" Target="https://www.diodes.com/assets/Datasheets/DMPH4015SSSQ.pdf" TargetMode="External"/><Relationship Id="rId_hyperlink_2553" Type="http://schemas.openxmlformats.org/officeDocument/2006/relationships/hyperlink" Target="https://www.diodes.com/part/view/DMPH4016SK3" TargetMode="External"/><Relationship Id="rId_hyperlink_2554" Type="http://schemas.openxmlformats.org/officeDocument/2006/relationships/hyperlink" Target="https://www.diodes.com/assets/Datasheets/DMPH4016SK3.pdf" TargetMode="External"/><Relationship Id="rId_hyperlink_2555" Type="http://schemas.openxmlformats.org/officeDocument/2006/relationships/hyperlink" Target="https://www.diodes.com/part/view/DMPH4016SK3Q" TargetMode="External"/><Relationship Id="rId_hyperlink_2556" Type="http://schemas.openxmlformats.org/officeDocument/2006/relationships/hyperlink" Target="https://www.diodes.com/assets/Datasheets/DMPH4016SK3Q.pdf" TargetMode="External"/><Relationship Id="rId_hyperlink_2557" Type="http://schemas.openxmlformats.org/officeDocument/2006/relationships/hyperlink" Target="https://www.diodes.com/part/view/DMPH4016SPSW" TargetMode="External"/><Relationship Id="rId_hyperlink_2558" Type="http://schemas.openxmlformats.org/officeDocument/2006/relationships/hyperlink" Target="https://www.diodes.com/assets/Datasheets/DMPH4016SPSW.pdf" TargetMode="External"/><Relationship Id="rId_hyperlink_2559" Type="http://schemas.openxmlformats.org/officeDocument/2006/relationships/hyperlink" Target="https://www.diodes.com/part/view/DMPH4016SPSWQ" TargetMode="External"/><Relationship Id="rId_hyperlink_2560" Type="http://schemas.openxmlformats.org/officeDocument/2006/relationships/hyperlink" Target="https://www.diodes.com/assets/Datasheets/DMPH4016SPSWQ.pdf" TargetMode="External"/><Relationship Id="rId_hyperlink_2561" Type="http://schemas.openxmlformats.org/officeDocument/2006/relationships/hyperlink" Target="https://www.diodes.com/part/view/DMPH4016SSS" TargetMode="External"/><Relationship Id="rId_hyperlink_2562" Type="http://schemas.openxmlformats.org/officeDocument/2006/relationships/hyperlink" Target="https://www.diodes.com/assets/Datasheets/DMPH4016SSS.pdf" TargetMode="External"/><Relationship Id="rId_hyperlink_2563" Type="http://schemas.openxmlformats.org/officeDocument/2006/relationships/hyperlink" Target="https://www.diodes.com/part/view/DMPH4016SSSQ" TargetMode="External"/><Relationship Id="rId_hyperlink_2564" Type="http://schemas.openxmlformats.org/officeDocument/2006/relationships/hyperlink" Target="https://www.diodes.com/assets/Datasheets/DMPH4016SSSQ.pdf" TargetMode="External"/><Relationship Id="rId_hyperlink_2565" Type="http://schemas.openxmlformats.org/officeDocument/2006/relationships/hyperlink" Target="https://www.diodes.com/part/view/DMPH4023SK3" TargetMode="External"/><Relationship Id="rId_hyperlink_2566" Type="http://schemas.openxmlformats.org/officeDocument/2006/relationships/hyperlink" Target="https://www.diodes.com/assets/Datasheets/DMPH4023SK3.pdf" TargetMode="External"/><Relationship Id="rId_hyperlink_2567" Type="http://schemas.openxmlformats.org/officeDocument/2006/relationships/hyperlink" Target="https://www.diodes.com/part/view/DMPH4023SK3Q" TargetMode="External"/><Relationship Id="rId_hyperlink_2568" Type="http://schemas.openxmlformats.org/officeDocument/2006/relationships/hyperlink" Target="https://www.diodes.com/assets/Datasheets/DMPH4023SK3Q.pdf" TargetMode="External"/><Relationship Id="rId_hyperlink_2569" Type="http://schemas.openxmlformats.org/officeDocument/2006/relationships/hyperlink" Target="https://www.diodes.com/part/view/DMPH4023SPDWQ" TargetMode="External"/><Relationship Id="rId_hyperlink_2570" Type="http://schemas.openxmlformats.org/officeDocument/2006/relationships/hyperlink" Target="https://www.diodes.com/assets/Datasheets/DMPH4023SPDWQ.pdf" TargetMode="External"/><Relationship Id="rId_hyperlink_2571" Type="http://schemas.openxmlformats.org/officeDocument/2006/relationships/hyperlink" Target="https://www.diodes.com/part/view/DMPH4025SFVWQ" TargetMode="External"/><Relationship Id="rId_hyperlink_2572" Type="http://schemas.openxmlformats.org/officeDocument/2006/relationships/hyperlink" Target="https://www.diodes.com/assets/Datasheets/DMPH4025SFVWQ.pdf" TargetMode="External"/><Relationship Id="rId_hyperlink_2573" Type="http://schemas.openxmlformats.org/officeDocument/2006/relationships/hyperlink" Target="https://www.diodes.com/part/view/DMPH4026SFVW" TargetMode="External"/><Relationship Id="rId_hyperlink_2574" Type="http://schemas.openxmlformats.org/officeDocument/2006/relationships/hyperlink" Target="https://www.diodes.com/assets/Datasheets/DMPH4026SFVW.pdf" TargetMode="External"/><Relationship Id="rId_hyperlink_2575" Type="http://schemas.openxmlformats.org/officeDocument/2006/relationships/hyperlink" Target="https://www.diodes.com/part/view/DMPH4026SFVWQ" TargetMode="External"/><Relationship Id="rId_hyperlink_2576" Type="http://schemas.openxmlformats.org/officeDocument/2006/relationships/hyperlink" Target="https://www.diodes.com/assets/Datasheets/DMPH4026SFVWQ.pdf" TargetMode="External"/><Relationship Id="rId_hyperlink_2577" Type="http://schemas.openxmlformats.org/officeDocument/2006/relationships/hyperlink" Target="https://www.diodes.com/part/view/DMPH4029LFG" TargetMode="External"/><Relationship Id="rId_hyperlink_2578" Type="http://schemas.openxmlformats.org/officeDocument/2006/relationships/hyperlink" Target="https://www.diodes.com/assets/Datasheets/DMPH4029LFG.pdf" TargetMode="External"/><Relationship Id="rId_hyperlink_2579" Type="http://schemas.openxmlformats.org/officeDocument/2006/relationships/hyperlink" Target="https://www.diodes.com/part/view/DMPH4029LFGQ" TargetMode="External"/><Relationship Id="rId_hyperlink_2580" Type="http://schemas.openxmlformats.org/officeDocument/2006/relationships/hyperlink" Target="https://www.diodes.com/assets/Datasheets/DMPH4029LFGQ.pdf" TargetMode="External"/><Relationship Id="rId_hyperlink_2581" Type="http://schemas.openxmlformats.org/officeDocument/2006/relationships/hyperlink" Target="https://www.diodes.com/part/view/DMPH6023SK3" TargetMode="External"/><Relationship Id="rId_hyperlink_2582" Type="http://schemas.openxmlformats.org/officeDocument/2006/relationships/hyperlink" Target="https://www.diodes.com/assets/Datasheets/DMPH6023SK3.pdf" TargetMode="External"/><Relationship Id="rId_hyperlink_2583" Type="http://schemas.openxmlformats.org/officeDocument/2006/relationships/hyperlink" Target="https://www.diodes.com/part/view/DMPH6023SK3Q" TargetMode="External"/><Relationship Id="rId_hyperlink_2584" Type="http://schemas.openxmlformats.org/officeDocument/2006/relationships/hyperlink" Target="https://www.diodes.com/assets/Datasheets/DMPH6023SK3Q.pdf" TargetMode="External"/><Relationship Id="rId_hyperlink_2585" Type="http://schemas.openxmlformats.org/officeDocument/2006/relationships/hyperlink" Target="https://www.diodes.com/part/view/DMPH6050SFGQ" TargetMode="External"/><Relationship Id="rId_hyperlink_2586" Type="http://schemas.openxmlformats.org/officeDocument/2006/relationships/hyperlink" Target="https://www.diodes.com/assets/Datasheets/DMPH6050SFGQ.pdf" TargetMode="External"/><Relationship Id="rId_hyperlink_2587" Type="http://schemas.openxmlformats.org/officeDocument/2006/relationships/hyperlink" Target="https://www.diodes.com/part/view/DMPH6050SK3" TargetMode="External"/><Relationship Id="rId_hyperlink_2588" Type="http://schemas.openxmlformats.org/officeDocument/2006/relationships/hyperlink" Target="https://www.diodes.com/assets/Datasheets/DMPH6050SK3.pdf" TargetMode="External"/><Relationship Id="rId_hyperlink_2589" Type="http://schemas.openxmlformats.org/officeDocument/2006/relationships/hyperlink" Target="https://www.diodes.com/part/view/DMPH6050SK3Q" TargetMode="External"/><Relationship Id="rId_hyperlink_2590" Type="http://schemas.openxmlformats.org/officeDocument/2006/relationships/hyperlink" Target="https://www.diodes.com/assets/Datasheets/DMPH6050SK3Q.pdf" TargetMode="External"/><Relationship Id="rId_hyperlink_2591" Type="http://schemas.openxmlformats.org/officeDocument/2006/relationships/hyperlink" Target="https://www.diodes.com/part/view/DMPH6050SPD" TargetMode="External"/><Relationship Id="rId_hyperlink_2592" Type="http://schemas.openxmlformats.org/officeDocument/2006/relationships/hyperlink" Target="https://www.diodes.com/assets/Datasheets/DMPH6050SPD.pdf" TargetMode="External"/><Relationship Id="rId_hyperlink_2593" Type="http://schemas.openxmlformats.org/officeDocument/2006/relationships/hyperlink" Target="https://www.diodes.com/part/view/DMPH6050SPDQ" TargetMode="External"/><Relationship Id="rId_hyperlink_2594" Type="http://schemas.openxmlformats.org/officeDocument/2006/relationships/hyperlink" Target="https://www.diodes.com/assets/Datasheets/DMPH6050SPDQ.pdf" TargetMode="External"/><Relationship Id="rId_hyperlink_2595" Type="http://schemas.openxmlformats.org/officeDocument/2006/relationships/hyperlink" Target="https://www.diodes.com/part/view/DMPH6050SPDWQ" TargetMode="External"/><Relationship Id="rId_hyperlink_2596" Type="http://schemas.openxmlformats.org/officeDocument/2006/relationships/hyperlink" Target="https://www.diodes.com/assets/Datasheets/DMPH6050SPDWQ.pdf" TargetMode="External"/><Relationship Id="rId_hyperlink_2597" Type="http://schemas.openxmlformats.org/officeDocument/2006/relationships/hyperlink" Target="https://www.diodes.com/part/view/DMPH6050SSD" TargetMode="External"/><Relationship Id="rId_hyperlink_2598" Type="http://schemas.openxmlformats.org/officeDocument/2006/relationships/hyperlink" Target="https://www.diodes.com/assets/Datasheets/DMPH6050SSD.pdf" TargetMode="External"/><Relationship Id="rId_hyperlink_2599" Type="http://schemas.openxmlformats.org/officeDocument/2006/relationships/hyperlink" Target="https://www.diodes.com/part/view/DMPH6050SSDQ" TargetMode="External"/><Relationship Id="rId_hyperlink_2600" Type="http://schemas.openxmlformats.org/officeDocument/2006/relationships/hyperlink" Target="https://www.diodes.com/assets/Datasheets/DMPH6050SSDQ.pdf" TargetMode="External"/><Relationship Id="rId_hyperlink_2601" Type="http://schemas.openxmlformats.org/officeDocument/2006/relationships/hyperlink" Target="https://www.diodes.com/part/view/DMPH6250S" TargetMode="External"/><Relationship Id="rId_hyperlink_2602" Type="http://schemas.openxmlformats.org/officeDocument/2006/relationships/hyperlink" Target="https://www.diodes.com/assets/Datasheets/DMPH6250S.pdf" TargetMode="External"/><Relationship Id="rId_hyperlink_2603" Type="http://schemas.openxmlformats.org/officeDocument/2006/relationships/hyperlink" Target="https://www.diodes.com/part/view/DMPH6250SQ" TargetMode="External"/><Relationship Id="rId_hyperlink_2604" Type="http://schemas.openxmlformats.org/officeDocument/2006/relationships/hyperlink" Target="https://www.diodes.com/assets/Datasheets/DMPH6250SQ.pdf" TargetMode="External"/><Relationship Id="rId_hyperlink_2605" Type="http://schemas.openxmlformats.org/officeDocument/2006/relationships/hyperlink" Target="https://www.diodes.com/part/view/DMS2085LSD" TargetMode="External"/><Relationship Id="rId_hyperlink_2606" Type="http://schemas.openxmlformats.org/officeDocument/2006/relationships/hyperlink" Target="https://www.diodes.com/assets/Datasheets/DMS2085LSD.pdf" TargetMode="External"/><Relationship Id="rId_hyperlink_2607" Type="http://schemas.openxmlformats.org/officeDocument/2006/relationships/hyperlink" Target="https://www.diodes.com/part/view/DMS2095LFDB" TargetMode="External"/><Relationship Id="rId_hyperlink_2608" Type="http://schemas.openxmlformats.org/officeDocument/2006/relationships/hyperlink" Target="https://www.diodes.com/assets/Datasheets/DMS2095LFDB.pdf" TargetMode="External"/><Relationship Id="rId_hyperlink_2609" Type="http://schemas.openxmlformats.org/officeDocument/2006/relationships/hyperlink" Target="https://www.diodes.com/part/view/DMS2120LFWB" TargetMode="External"/><Relationship Id="rId_hyperlink_2610" Type="http://schemas.openxmlformats.org/officeDocument/2006/relationships/hyperlink" Target="https://www.diodes.com/assets/Datasheets/ds31667.pdf" TargetMode="External"/><Relationship Id="rId_hyperlink_2611" Type="http://schemas.openxmlformats.org/officeDocument/2006/relationships/hyperlink" Target="https://www.diodes.com/part/view/DMS2220LFDB" TargetMode="External"/><Relationship Id="rId_hyperlink_2612" Type="http://schemas.openxmlformats.org/officeDocument/2006/relationships/hyperlink" Target="https://www.diodes.com/assets/Datasheets/DMS2220LFDB.pdf" TargetMode="External"/><Relationship Id="rId_hyperlink_2613" Type="http://schemas.openxmlformats.org/officeDocument/2006/relationships/hyperlink" Target="https://www.diodes.com/part/view/DMS3014SFGQ" TargetMode="External"/><Relationship Id="rId_hyperlink_2614" Type="http://schemas.openxmlformats.org/officeDocument/2006/relationships/hyperlink" Target="https://www.diodes.com/assets/Datasheets/DMS3014SFGQ.pdf" TargetMode="External"/><Relationship Id="rId_hyperlink_2615" Type="http://schemas.openxmlformats.org/officeDocument/2006/relationships/hyperlink" Target="https://www.diodes.com/part/view/DMT10H003SPSW" TargetMode="External"/><Relationship Id="rId_hyperlink_2616" Type="http://schemas.openxmlformats.org/officeDocument/2006/relationships/hyperlink" Target="https://www.diodes.com/assets/Datasheets/DMT10H003SPSW.pdf" TargetMode="External"/><Relationship Id="rId_hyperlink_2617" Type="http://schemas.openxmlformats.org/officeDocument/2006/relationships/hyperlink" Target="https://www.diodes.com/part/view/DMT10H009LCG" TargetMode="External"/><Relationship Id="rId_hyperlink_2618" Type="http://schemas.openxmlformats.org/officeDocument/2006/relationships/hyperlink" Target="https://www.diodes.com/assets/Datasheets/DMT10H009LCG.pdf" TargetMode="External"/><Relationship Id="rId_hyperlink_2619" Type="http://schemas.openxmlformats.org/officeDocument/2006/relationships/hyperlink" Target="https://www.diodes.com/part/view/DMT10H009LFG" TargetMode="External"/><Relationship Id="rId_hyperlink_2620" Type="http://schemas.openxmlformats.org/officeDocument/2006/relationships/hyperlink" Target="https://www.diodes.com/assets/Datasheets/DMT10H009LFG.pdf" TargetMode="External"/><Relationship Id="rId_hyperlink_2621" Type="http://schemas.openxmlformats.org/officeDocument/2006/relationships/hyperlink" Target="https://www.diodes.com/part/view/DMT10H009LH3" TargetMode="External"/><Relationship Id="rId_hyperlink_2622" Type="http://schemas.openxmlformats.org/officeDocument/2006/relationships/hyperlink" Target="https://www.diodes.com/assets/Datasheets/DMT10H009LH3.pdf" TargetMode="External"/><Relationship Id="rId_hyperlink_2623" Type="http://schemas.openxmlformats.org/officeDocument/2006/relationships/hyperlink" Target="https://www.diodes.com/part/view/DMT10H009LK3" TargetMode="External"/><Relationship Id="rId_hyperlink_2624" Type="http://schemas.openxmlformats.org/officeDocument/2006/relationships/hyperlink" Target="https://www.diodes.com/assets/Datasheets/DMT10H009LK3.pdf" TargetMode="External"/><Relationship Id="rId_hyperlink_2625" Type="http://schemas.openxmlformats.org/officeDocument/2006/relationships/hyperlink" Target="https://www.diodes.com/part/view/DMT10H009LPS" TargetMode="External"/><Relationship Id="rId_hyperlink_2626" Type="http://schemas.openxmlformats.org/officeDocument/2006/relationships/hyperlink" Target="https://www.diodes.com/assets/Datasheets/DMT10H009LPS.pdf" TargetMode="External"/><Relationship Id="rId_hyperlink_2627" Type="http://schemas.openxmlformats.org/officeDocument/2006/relationships/hyperlink" Target="https://www.diodes.com/part/view/DMT10H009LSS" TargetMode="External"/><Relationship Id="rId_hyperlink_2628" Type="http://schemas.openxmlformats.org/officeDocument/2006/relationships/hyperlink" Target="https://www.diodes.com/assets/Datasheets/DMT10H009LSS.pdf" TargetMode="External"/><Relationship Id="rId_hyperlink_2629" Type="http://schemas.openxmlformats.org/officeDocument/2006/relationships/hyperlink" Target="https://www.diodes.com/part/view/DMT10H009LSSQ" TargetMode="External"/><Relationship Id="rId_hyperlink_2630" Type="http://schemas.openxmlformats.org/officeDocument/2006/relationships/hyperlink" Target="https://www.diodes.com/assets/Datasheets/DMT10H009LSSQ.pdf" TargetMode="External"/><Relationship Id="rId_hyperlink_2631" Type="http://schemas.openxmlformats.org/officeDocument/2006/relationships/hyperlink" Target="https://www.diodes.com/part/view/DMT10H009SCG" TargetMode="External"/><Relationship Id="rId_hyperlink_2632" Type="http://schemas.openxmlformats.org/officeDocument/2006/relationships/hyperlink" Target="https://www.diodes.com/assets/Datasheets/DMT10H009SCG.pdf" TargetMode="External"/><Relationship Id="rId_hyperlink_2633" Type="http://schemas.openxmlformats.org/officeDocument/2006/relationships/hyperlink" Target="https://www.diodes.com/part/view/DMT10H009SK3" TargetMode="External"/><Relationship Id="rId_hyperlink_2634" Type="http://schemas.openxmlformats.org/officeDocument/2006/relationships/hyperlink" Target="https://www.diodes.com/assets/Datasheets/DMT10H009SK3.pdf" TargetMode="External"/><Relationship Id="rId_hyperlink_2635" Type="http://schemas.openxmlformats.org/officeDocument/2006/relationships/hyperlink" Target="https://www.diodes.com/part/view/DMT10H009SPS" TargetMode="External"/><Relationship Id="rId_hyperlink_2636" Type="http://schemas.openxmlformats.org/officeDocument/2006/relationships/hyperlink" Target="https://www.diodes.com/assets/Datasheets/DMT10H009SPS.pdf" TargetMode="External"/><Relationship Id="rId_hyperlink_2637" Type="http://schemas.openxmlformats.org/officeDocument/2006/relationships/hyperlink" Target="https://www.diodes.com/part/view/DMT10H009SSS" TargetMode="External"/><Relationship Id="rId_hyperlink_2638" Type="http://schemas.openxmlformats.org/officeDocument/2006/relationships/hyperlink" Target="https://www.diodes.com/assets/Datasheets/DMT10H009SSS.pdf" TargetMode="External"/><Relationship Id="rId_hyperlink_2639" Type="http://schemas.openxmlformats.org/officeDocument/2006/relationships/hyperlink" Target="https://www.diodes.com/part/view/DMT10H010LCT" TargetMode="External"/><Relationship Id="rId_hyperlink_2640" Type="http://schemas.openxmlformats.org/officeDocument/2006/relationships/hyperlink" Target="https://www.diodes.com/assets/Datasheets/DMT10H010LCT.pdf" TargetMode="External"/><Relationship Id="rId_hyperlink_2641" Type="http://schemas.openxmlformats.org/officeDocument/2006/relationships/hyperlink" Target="https://www.diodes.com/part/view/DMT10H010LK3" TargetMode="External"/><Relationship Id="rId_hyperlink_2642" Type="http://schemas.openxmlformats.org/officeDocument/2006/relationships/hyperlink" Target="https://www.diodes.com/assets/Datasheets/DMT10H010LK3.pdf" TargetMode="External"/><Relationship Id="rId_hyperlink_2643" Type="http://schemas.openxmlformats.org/officeDocument/2006/relationships/hyperlink" Target="https://www.diodes.com/part/view/DMT10H010LPS" TargetMode="External"/><Relationship Id="rId_hyperlink_2644" Type="http://schemas.openxmlformats.org/officeDocument/2006/relationships/hyperlink" Target="https://www.diodes.com/assets/Datasheets/DMT10H010LPS.pdf" TargetMode="External"/><Relationship Id="rId_hyperlink_2645" Type="http://schemas.openxmlformats.org/officeDocument/2006/relationships/hyperlink" Target="https://www.diodes.com/part/view/DMT10H010LSS" TargetMode="External"/><Relationship Id="rId_hyperlink_2646" Type="http://schemas.openxmlformats.org/officeDocument/2006/relationships/hyperlink" Target="https://www.diodes.com/assets/Datasheets/DMT10H010LSS.pdf" TargetMode="External"/><Relationship Id="rId_hyperlink_2647" Type="http://schemas.openxmlformats.org/officeDocument/2006/relationships/hyperlink" Target="https://www.diodes.com/part/view/DMT10H010LSSQ" TargetMode="External"/><Relationship Id="rId_hyperlink_2648" Type="http://schemas.openxmlformats.org/officeDocument/2006/relationships/hyperlink" Target="https://www.diodes.com/assets/Datasheets/DMT10H010LSSQ.pdf" TargetMode="External"/><Relationship Id="rId_hyperlink_2649" Type="http://schemas.openxmlformats.org/officeDocument/2006/relationships/hyperlink" Target="https://www.diodes.com/part/view/DMT10H010SPS" TargetMode="External"/><Relationship Id="rId_hyperlink_2650" Type="http://schemas.openxmlformats.org/officeDocument/2006/relationships/hyperlink" Target="https://www.diodes.com/assets/Datasheets/DMT10H010SPS.pdf" TargetMode="External"/><Relationship Id="rId_hyperlink_2651" Type="http://schemas.openxmlformats.org/officeDocument/2006/relationships/hyperlink" Target="https://www.diodes.com/part/view/DMT10H014LSS" TargetMode="External"/><Relationship Id="rId_hyperlink_2652" Type="http://schemas.openxmlformats.org/officeDocument/2006/relationships/hyperlink" Target="https://www.diodes.com/assets/Datasheets/DMT10H014LSS.pdf" TargetMode="External"/><Relationship Id="rId_hyperlink_2653" Type="http://schemas.openxmlformats.org/officeDocument/2006/relationships/hyperlink" Target="https://www.diodes.com/part/view/DMT10H015LCG" TargetMode="External"/><Relationship Id="rId_hyperlink_2654" Type="http://schemas.openxmlformats.org/officeDocument/2006/relationships/hyperlink" Target="https://www.diodes.com/assets/Datasheets/DMT10H015LCG.pdf" TargetMode="External"/><Relationship Id="rId_hyperlink_2655" Type="http://schemas.openxmlformats.org/officeDocument/2006/relationships/hyperlink" Target="https://www.diodes.com/part/view/DMT10H015LFG" TargetMode="External"/><Relationship Id="rId_hyperlink_2656" Type="http://schemas.openxmlformats.org/officeDocument/2006/relationships/hyperlink" Target="https://www.diodes.com/assets/Datasheets/DMT10H015LFG.pdf" TargetMode="External"/><Relationship Id="rId_hyperlink_2657" Type="http://schemas.openxmlformats.org/officeDocument/2006/relationships/hyperlink" Target="https://www.diodes.com/part/view/DMT10H015LK3" TargetMode="External"/><Relationship Id="rId_hyperlink_2658" Type="http://schemas.openxmlformats.org/officeDocument/2006/relationships/hyperlink" Target="https://www.diodes.com/assets/Datasheets/DMT10H015LK3.pdf" TargetMode="External"/><Relationship Id="rId_hyperlink_2659" Type="http://schemas.openxmlformats.org/officeDocument/2006/relationships/hyperlink" Target="https://www.diodes.com/part/view/DMT10H015LPS" TargetMode="External"/><Relationship Id="rId_hyperlink_2660" Type="http://schemas.openxmlformats.org/officeDocument/2006/relationships/hyperlink" Target="https://www.diodes.com/assets/Datasheets/DMT10H015LPS.pdf" TargetMode="External"/><Relationship Id="rId_hyperlink_2661" Type="http://schemas.openxmlformats.org/officeDocument/2006/relationships/hyperlink" Target="https://www.diodes.com/part/view/DMT10H015LSS" TargetMode="External"/><Relationship Id="rId_hyperlink_2662" Type="http://schemas.openxmlformats.org/officeDocument/2006/relationships/hyperlink" Target="https://www.diodes.com/assets/Datasheets/DMT10H015LSS.pdf" TargetMode="External"/><Relationship Id="rId_hyperlink_2663" Type="http://schemas.openxmlformats.org/officeDocument/2006/relationships/hyperlink" Target="https://www.diodes.com/part/view/DMT10H015SK3" TargetMode="External"/><Relationship Id="rId_hyperlink_2664" Type="http://schemas.openxmlformats.org/officeDocument/2006/relationships/hyperlink" Target="https://www.diodes.com/assets/Datasheets/DMT10H015SK3.pdf" TargetMode="External"/><Relationship Id="rId_hyperlink_2665" Type="http://schemas.openxmlformats.org/officeDocument/2006/relationships/hyperlink" Target="https://www.diodes.com/part/view/DMT10H015SPS" TargetMode="External"/><Relationship Id="rId_hyperlink_2666" Type="http://schemas.openxmlformats.org/officeDocument/2006/relationships/hyperlink" Target="https://www.diodes.com/assets/Datasheets/DMT10H015SPS.pdf" TargetMode="External"/><Relationship Id="rId_hyperlink_2667" Type="http://schemas.openxmlformats.org/officeDocument/2006/relationships/hyperlink" Target="https://www.diodes.com/part/view/DMT10H017LPD" TargetMode="External"/><Relationship Id="rId_hyperlink_2668" Type="http://schemas.openxmlformats.org/officeDocument/2006/relationships/hyperlink" Target="https://www.diodes.com/assets/Datasheets/DMT10H017LPD.pdf" TargetMode="External"/><Relationship Id="rId_hyperlink_2669" Type="http://schemas.openxmlformats.org/officeDocument/2006/relationships/hyperlink" Target="https://www.diodes.com/part/view/DMT10H025LK3" TargetMode="External"/><Relationship Id="rId_hyperlink_2670" Type="http://schemas.openxmlformats.org/officeDocument/2006/relationships/hyperlink" Target="https://www.diodes.com/assets/Datasheets/DMT10H025LK3.pdf" TargetMode="External"/><Relationship Id="rId_hyperlink_2671" Type="http://schemas.openxmlformats.org/officeDocument/2006/relationships/hyperlink" Target="https://www.diodes.com/part/view/DMT10H025LSS" TargetMode="External"/><Relationship Id="rId_hyperlink_2672" Type="http://schemas.openxmlformats.org/officeDocument/2006/relationships/hyperlink" Target="https://www.diodes.com/assets/Datasheets/DMT10H025LSS.pdf" TargetMode="External"/><Relationship Id="rId_hyperlink_2673" Type="http://schemas.openxmlformats.org/officeDocument/2006/relationships/hyperlink" Target="https://www.diodes.com/part/view/DMT10H025SK3" TargetMode="External"/><Relationship Id="rId_hyperlink_2674" Type="http://schemas.openxmlformats.org/officeDocument/2006/relationships/hyperlink" Target="https://www.diodes.com/assets/Datasheets/DMT10H025SK3.pdf" TargetMode="External"/><Relationship Id="rId_hyperlink_2675" Type="http://schemas.openxmlformats.org/officeDocument/2006/relationships/hyperlink" Target="https://www.diodes.com/part/view/DMT10H025SSS" TargetMode="External"/><Relationship Id="rId_hyperlink_2676" Type="http://schemas.openxmlformats.org/officeDocument/2006/relationships/hyperlink" Target="https://www.diodes.com/assets/Datasheets/DMT10H025SSS.pdf" TargetMode="External"/><Relationship Id="rId_hyperlink_2677" Type="http://schemas.openxmlformats.org/officeDocument/2006/relationships/hyperlink" Target="https://www.diodes.com/part/view/DMT10H032LDV" TargetMode="External"/><Relationship Id="rId_hyperlink_2678" Type="http://schemas.openxmlformats.org/officeDocument/2006/relationships/hyperlink" Target="https://www.diodes.com/assets/Datasheets/DMT10H032LDV.pdf" TargetMode="External"/><Relationship Id="rId_hyperlink_2679" Type="http://schemas.openxmlformats.org/officeDocument/2006/relationships/hyperlink" Target="https://www.diodes.com/part/view/DMT10H032LDVW" TargetMode="External"/><Relationship Id="rId_hyperlink_2680" Type="http://schemas.openxmlformats.org/officeDocument/2006/relationships/hyperlink" Target="https://www.diodes.com/assets/Datasheets/DMT10H032LDVW.pdf" TargetMode="External"/><Relationship Id="rId_hyperlink_2681" Type="http://schemas.openxmlformats.org/officeDocument/2006/relationships/hyperlink" Target="https://www.diodes.com/part/view/DMT10H032LDVWQ" TargetMode="External"/><Relationship Id="rId_hyperlink_2682" Type="http://schemas.openxmlformats.org/officeDocument/2006/relationships/hyperlink" Target="https://www.diodes.com/assets/Datasheets/DMT10H032LDVWQ.pdf" TargetMode="External"/><Relationship Id="rId_hyperlink_2683" Type="http://schemas.openxmlformats.org/officeDocument/2006/relationships/hyperlink" Target="https://www.diodes.com/part/view/DMT10H032LFDF" TargetMode="External"/><Relationship Id="rId_hyperlink_2684" Type="http://schemas.openxmlformats.org/officeDocument/2006/relationships/hyperlink" Target="https://www.diodes.com/assets/Datasheets/DMT10H032LFDF.pdf" TargetMode="External"/><Relationship Id="rId_hyperlink_2685" Type="http://schemas.openxmlformats.org/officeDocument/2006/relationships/hyperlink" Target="https://www.diodes.com/part/view/DMT10H032LFVW" TargetMode="External"/><Relationship Id="rId_hyperlink_2686" Type="http://schemas.openxmlformats.org/officeDocument/2006/relationships/hyperlink" Target="https://www.diodes.com/assets/Datasheets/DMT10H032LFVW.pdf" TargetMode="External"/><Relationship Id="rId_hyperlink_2687" Type="http://schemas.openxmlformats.org/officeDocument/2006/relationships/hyperlink" Target="https://www.diodes.com/part/view/DMT10H032LK3" TargetMode="External"/><Relationship Id="rId_hyperlink_2688" Type="http://schemas.openxmlformats.org/officeDocument/2006/relationships/hyperlink" Target="https://www.diodes.com/assets/Datasheets/DMT10H032LK3.pdf" TargetMode="External"/><Relationship Id="rId_hyperlink_2689" Type="http://schemas.openxmlformats.org/officeDocument/2006/relationships/hyperlink" Target="https://www.diodes.com/part/view/DMT10H032LSS" TargetMode="External"/><Relationship Id="rId_hyperlink_2690" Type="http://schemas.openxmlformats.org/officeDocument/2006/relationships/hyperlink" Target="https://www.diodes.com/assets/Datasheets/DMT10H032LSS.pdf" TargetMode="External"/><Relationship Id="rId_hyperlink_2691" Type="http://schemas.openxmlformats.org/officeDocument/2006/relationships/hyperlink" Target="https://www.diodes.com/part/view/DMT10H032SDVW" TargetMode="External"/><Relationship Id="rId_hyperlink_2692" Type="http://schemas.openxmlformats.org/officeDocument/2006/relationships/hyperlink" Target="https://www.diodes.com/assets/Datasheets/DMT10H032SDVW.pdf" TargetMode="External"/><Relationship Id="rId_hyperlink_2693" Type="http://schemas.openxmlformats.org/officeDocument/2006/relationships/hyperlink" Target="https://www.diodes.com/part/view/DMT10H032SDVWQ" TargetMode="External"/><Relationship Id="rId_hyperlink_2694" Type="http://schemas.openxmlformats.org/officeDocument/2006/relationships/hyperlink" Target="https://www.diodes.com/assets/Datasheets/DMT10H032SDVWQ.pdf" TargetMode="External"/><Relationship Id="rId_hyperlink_2695" Type="http://schemas.openxmlformats.org/officeDocument/2006/relationships/hyperlink" Target="https://www.diodes.com/part/view/DMT10H032SFVW" TargetMode="External"/><Relationship Id="rId_hyperlink_2696" Type="http://schemas.openxmlformats.org/officeDocument/2006/relationships/hyperlink" Target="https://www.diodes.com/assets/Datasheets/DMT10H032SFVW.pdf" TargetMode="External"/><Relationship Id="rId_hyperlink_2697" Type="http://schemas.openxmlformats.org/officeDocument/2006/relationships/hyperlink" Target="https://www.diodes.com/part/view/DMT10H052LFDF" TargetMode="External"/><Relationship Id="rId_hyperlink_2698" Type="http://schemas.openxmlformats.org/officeDocument/2006/relationships/hyperlink" Target="https://www.diodes.com/assets/Datasheets/DMT10H052LFDF.pdf" TargetMode="External"/><Relationship Id="rId_hyperlink_2699" Type="http://schemas.openxmlformats.org/officeDocument/2006/relationships/hyperlink" Target="https://www.diodes.com/part/view/DMT10H072LDV" TargetMode="External"/><Relationship Id="rId_hyperlink_2700" Type="http://schemas.openxmlformats.org/officeDocument/2006/relationships/hyperlink" Target="https://www.diodes.com/assets/Datasheets/DMT10H072LDV.pdf" TargetMode="External"/><Relationship Id="rId_hyperlink_2701" Type="http://schemas.openxmlformats.org/officeDocument/2006/relationships/hyperlink" Target="https://www.diodes.com/part/view/DMT10H072LFDF" TargetMode="External"/><Relationship Id="rId_hyperlink_2702" Type="http://schemas.openxmlformats.org/officeDocument/2006/relationships/hyperlink" Target="https://www.diodes.com/assets/Datasheets/DMT10H072LFDF.pdf" TargetMode="External"/><Relationship Id="rId_hyperlink_2703" Type="http://schemas.openxmlformats.org/officeDocument/2006/relationships/hyperlink" Target="https://www.diodes.com/part/view/DMT10H072LFDFQ" TargetMode="External"/><Relationship Id="rId_hyperlink_2704" Type="http://schemas.openxmlformats.org/officeDocument/2006/relationships/hyperlink" Target="https://www.diodes.com/assets/Datasheets/DMT10H072LFDFQ.pdf" TargetMode="External"/><Relationship Id="rId_hyperlink_2705" Type="http://schemas.openxmlformats.org/officeDocument/2006/relationships/hyperlink" Target="https://www.diodes.com/part/view/DMT10H072LFV" TargetMode="External"/><Relationship Id="rId_hyperlink_2706" Type="http://schemas.openxmlformats.org/officeDocument/2006/relationships/hyperlink" Target="https://www.diodes.com/assets/Datasheets/DMT10H072LFV.pdf" TargetMode="External"/><Relationship Id="rId_hyperlink_2707" Type="http://schemas.openxmlformats.org/officeDocument/2006/relationships/hyperlink" Target="https://www.diodes.com/part/view/DMT10H075LE" TargetMode="External"/><Relationship Id="rId_hyperlink_2708" Type="http://schemas.openxmlformats.org/officeDocument/2006/relationships/hyperlink" Target="https://www.diodes.com/assets/Datasheets/DMT10H075LE.pdf" TargetMode="External"/><Relationship Id="rId_hyperlink_2709" Type="http://schemas.openxmlformats.org/officeDocument/2006/relationships/hyperlink" Target="https://www.diodes.com/part/view/DMT10H4M5LPS" TargetMode="External"/><Relationship Id="rId_hyperlink_2710" Type="http://schemas.openxmlformats.org/officeDocument/2006/relationships/hyperlink" Target="https://www.diodes.com/assets/Datasheets/DMT10H4M5LPS.pdf" TargetMode="External"/><Relationship Id="rId_hyperlink_2711" Type="http://schemas.openxmlformats.org/officeDocument/2006/relationships/hyperlink" Target="https://www.diodes.com/part/view/DMT10H9M9LCT" TargetMode="External"/><Relationship Id="rId_hyperlink_2712" Type="http://schemas.openxmlformats.org/officeDocument/2006/relationships/hyperlink" Target="https://www.diodes.com/assets/Datasheets/DMT10H9M9LCT.pdf" TargetMode="External"/><Relationship Id="rId_hyperlink_2713" Type="http://schemas.openxmlformats.org/officeDocument/2006/relationships/hyperlink" Target="https://www.diodes.com/part/view/DMT10H9M9SCT" TargetMode="External"/><Relationship Id="rId_hyperlink_2714" Type="http://schemas.openxmlformats.org/officeDocument/2006/relationships/hyperlink" Target="https://www.diodes.com/assets/Datasheets/DMT10H9M9SCT.pdf" TargetMode="External"/><Relationship Id="rId_hyperlink_2715" Type="http://schemas.openxmlformats.org/officeDocument/2006/relationships/hyperlink" Target="https://www.diodes.com/part/view/DMT10H9M9SH3" TargetMode="External"/><Relationship Id="rId_hyperlink_2716" Type="http://schemas.openxmlformats.org/officeDocument/2006/relationships/hyperlink" Target="https://www.diodes.com/assets/Datasheets/DMT10H9M9SH3.pdf" TargetMode="External"/><Relationship Id="rId_hyperlink_2717" Type="http://schemas.openxmlformats.org/officeDocument/2006/relationships/hyperlink" Target="https://www.diodes.com/part/view/DMT12H007LPS" TargetMode="External"/><Relationship Id="rId_hyperlink_2718" Type="http://schemas.openxmlformats.org/officeDocument/2006/relationships/hyperlink" Target="https://www.diodes.com/assets/Datasheets/DMT12H007LPS.pdf" TargetMode="External"/><Relationship Id="rId_hyperlink_2719" Type="http://schemas.openxmlformats.org/officeDocument/2006/relationships/hyperlink" Target="https://www.diodes.com/part/view/DMT12H007SPS" TargetMode="External"/><Relationship Id="rId_hyperlink_2720" Type="http://schemas.openxmlformats.org/officeDocument/2006/relationships/hyperlink" Target="https://www.diodes.com/assets/Datasheets/DMT12H007SPS.pdf" TargetMode="External"/><Relationship Id="rId_hyperlink_2721" Type="http://schemas.openxmlformats.org/officeDocument/2006/relationships/hyperlink" Target="https://www.diodes.com/part/view/DMT12H060LCA9" TargetMode="External"/><Relationship Id="rId_hyperlink_2722" Type="http://schemas.openxmlformats.org/officeDocument/2006/relationships/hyperlink" Target="https://www.diodes.com/assets/Datasheets/DMT12H060LCA9.pdf" TargetMode="External"/><Relationship Id="rId_hyperlink_2723" Type="http://schemas.openxmlformats.org/officeDocument/2006/relationships/hyperlink" Target="https://www.diodes.com/part/view/DMT12H060LFDF" TargetMode="External"/><Relationship Id="rId_hyperlink_2724" Type="http://schemas.openxmlformats.org/officeDocument/2006/relationships/hyperlink" Target="https://www.diodes.com/assets/Datasheets/DMT12H060LFDF.pdf" TargetMode="External"/><Relationship Id="rId_hyperlink_2725" Type="http://schemas.openxmlformats.org/officeDocument/2006/relationships/hyperlink" Target="https://www.diodes.com/part/view/DMT12H065LFDF" TargetMode="External"/><Relationship Id="rId_hyperlink_2726" Type="http://schemas.openxmlformats.org/officeDocument/2006/relationships/hyperlink" Target="https://www.diodes.com/assets/Datasheets/DMT12H065LFDF.pdf" TargetMode="External"/><Relationship Id="rId_hyperlink_2727" Type="http://schemas.openxmlformats.org/officeDocument/2006/relationships/hyperlink" Target="https://www.diodes.com/part/view/DMT12H090LFDF4" TargetMode="External"/><Relationship Id="rId_hyperlink_2728" Type="http://schemas.openxmlformats.org/officeDocument/2006/relationships/hyperlink" Target="https://www.diodes.com/assets/Datasheets/DMT12H090LFDF4.pdf" TargetMode="External"/><Relationship Id="rId_hyperlink_2729" Type="http://schemas.openxmlformats.org/officeDocument/2006/relationships/hyperlink" Target="https://www.diodes.com/part/view/DMT15H017LPS" TargetMode="External"/><Relationship Id="rId_hyperlink_2730" Type="http://schemas.openxmlformats.org/officeDocument/2006/relationships/hyperlink" Target="https://www.diodes.com/assets/Datasheets/DMT15H017LPS.pdf" TargetMode="External"/><Relationship Id="rId_hyperlink_2731" Type="http://schemas.openxmlformats.org/officeDocument/2006/relationships/hyperlink" Target="https://www.diodes.com/part/view/DMT15H017LPSW" TargetMode="External"/><Relationship Id="rId_hyperlink_2732" Type="http://schemas.openxmlformats.org/officeDocument/2006/relationships/hyperlink" Target="https://www.diodes.com/assets/Datasheets/DMT15H017LPSW.pdf" TargetMode="External"/><Relationship Id="rId_hyperlink_2733" Type="http://schemas.openxmlformats.org/officeDocument/2006/relationships/hyperlink" Target="https://www.diodes.com/part/view/DMT15H017SK3" TargetMode="External"/><Relationship Id="rId_hyperlink_2734" Type="http://schemas.openxmlformats.org/officeDocument/2006/relationships/hyperlink" Target="https://www.diodes.com/assets/Datasheets/DMT15H017SK3.pdf" TargetMode="External"/><Relationship Id="rId_hyperlink_2735" Type="http://schemas.openxmlformats.org/officeDocument/2006/relationships/hyperlink" Target="https://www.diodes.com/part/view/DMT15H035SCT" TargetMode="External"/><Relationship Id="rId_hyperlink_2736" Type="http://schemas.openxmlformats.org/officeDocument/2006/relationships/hyperlink" Target="https://www.diodes.com/assets/Datasheets/DMT15H035SCT.pdf" TargetMode="External"/><Relationship Id="rId_hyperlink_2737" Type="http://schemas.openxmlformats.org/officeDocument/2006/relationships/hyperlink" Target="https://www.diodes.com/part/view/DMT15H053SK3" TargetMode="External"/><Relationship Id="rId_hyperlink_2738" Type="http://schemas.openxmlformats.org/officeDocument/2006/relationships/hyperlink" Target="https://www.diodes.com/assets/Datasheets/DMT15H053SK3.pdf" TargetMode="External"/><Relationship Id="rId_hyperlink_2739" Type="http://schemas.openxmlformats.org/officeDocument/2006/relationships/hyperlink" Target="https://www.diodes.com/part/view/DMT15H053SPSW" TargetMode="External"/><Relationship Id="rId_hyperlink_2740" Type="http://schemas.openxmlformats.org/officeDocument/2006/relationships/hyperlink" Target="https://www.diodes.com/assets/Datasheets/DMT15H053SPSW.pdf" TargetMode="External"/><Relationship Id="rId_hyperlink_2741" Type="http://schemas.openxmlformats.org/officeDocument/2006/relationships/hyperlink" Target="https://www.diodes.com/part/view/DMT15H053SPSWQ" TargetMode="External"/><Relationship Id="rId_hyperlink_2742" Type="http://schemas.openxmlformats.org/officeDocument/2006/relationships/hyperlink" Target="https://www.diodes.com/assets/Datasheets/DMT15H053SPSWQ.pdf" TargetMode="External"/><Relationship Id="rId_hyperlink_2743" Type="http://schemas.openxmlformats.org/officeDocument/2006/relationships/hyperlink" Target="https://www.diodes.com/part/view/DMT15H053SSS" TargetMode="External"/><Relationship Id="rId_hyperlink_2744" Type="http://schemas.openxmlformats.org/officeDocument/2006/relationships/hyperlink" Target="https://www.diodes.com/assets/Datasheets/DMT15H053SSS.pdf" TargetMode="External"/><Relationship Id="rId_hyperlink_2745" Type="http://schemas.openxmlformats.org/officeDocument/2006/relationships/hyperlink" Target="https://www.diodes.com/part/view/DMT15H067SSS" TargetMode="External"/><Relationship Id="rId_hyperlink_2746" Type="http://schemas.openxmlformats.org/officeDocument/2006/relationships/hyperlink" Target="https://www.diodes.com/assets/Datasheets/DMT15H067SSS.pdf" TargetMode="External"/><Relationship Id="rId_hyperlink_2747" Type="http://schemas.openxmlformats.org/officeDocument/2006/relationships/hyperlink" Target="https://www.diodes.com/part/view/DMT2004UFDF" TargetMode="External"/><Relationship Id="rId_hyperlink_2748" Type="http://schemas.openxmlformats.org/officeDocument/2006/relationships/hyperlink" Target="https://www.diodes.com/assets/Datasheets/DMT2004UFDF.pdf" TargetMode="External"/><Relationship Id="rId_hyperlink_2749" Type="http://schemas.openxmlformats.org/officeDocument/2006/relationships/hyperlink" Target="https://www.diodes.com/part/view/DMT2004UFG" TargetMode="External"/><Relationship Id="rId_hyperlink_2750" Type="http://schemas.openxmlformats.org/officeDocument/2006/relationships/hyperlink" Target="https://www.diodes.com/assets/Datasheets/DMT2004UFG.pdf" TargetMode="External"/><Relationship Id="rId_hyperlink_2751" Type="http://schemas.openxmlformats.org/officeDocument/2006/relationships/hyperlink" Target="https://www.diodes.com/part/view/DMT2004UFV" TargetMode="External"/><Relationship Id="rId_hyperlink_2752" Type="http://schemas.openxmlformats.org/officeDocument/2006/relationships/hyperlink" Target="https://www.diodes.com/assets/Datasheets/DMT2004UFV.pdf" TargetMode="External"/><Relationship Id="rId_hyperlink_2753" Type="http://schemas.openxmlformats.org/officeDocument/2006/relationships/hyperlink" Target="https://www.diodes.com/part/view/DMT2004UPS" TargetMode="External"/><Relationship Id="rId_hyperlink_2754" Type="http://schemas.openxmlformats.org/officeDocument/2006/relationships/hyperlink" Target="https://www.diodes.com/assets/Datasheets/DMT2004UPS.pdf" TargetMode="External"/><Relationship Id="rId_hyperlink_2755" Type="http://schemas.openxmlformats.org/officeDocument/2006/relationships/hyperlink" Target="https://www.diodes.com/part/view/DMT2005UDV" TargetMode="External"/><Relationship Id="rId_hyperlink_2756" Type="http://schemas.openxmlformats.org/officeDocument/2006/relationships/hyperlink" Target="https://www.diodes.com/assets/Datasheets/DMT2005UDV.pdf" TargetMode="External"/><Relationship Id="rId_hyperlink_2757" Type="http://schemas.openxmlformats.org/officeDocument/2006/relationships/hyperlink" Target="https://www.diodes.com/part/view/DMT26M0LDG" TargetMode="External"/><Relationship Id="rId_hyperlink_2758" Type="http://schemas.openxmlformats.org/officeDocument/2006/relationships/hyperlink" Target="https://www.diodes.com/assets/Datasheets/DMT26M0LDG.pdf" TargetMode="External"/><Relationship Id="rId_hyperlink_2759" Type="http://schemas.openxmlformats.org/officeDocument/2006/relationships/hyperlink" Target="https://www.diodes.com/part/view/DMT3002LPS" TargetMode="External"/><Relationship Id="rId_hyperlink_2760" Type="http://schemas.openxmlformats.org/officeDocument/2006/relationships/hyperlink" Target="https://www.diodes.com/assets/Datasheets/DMT3002LPS.pdf" TargetMode="External"/><Relationship Id="rId_hyperlink_2761" Type="http://schemas.openxmlformats.org/officeDocument/2006/relationships/hyperlink" Target="https://www.diodes.com/part/view/DMT3003LFG" TargetMode="External"/><Relationship Id="rId_hyperlink_2762" Type="http://schemas.openxmlformats.org/officeDocument/2006/relationships/hyperlink" Target="https://www.diodes.com/assets/Datasheets/DMT3003LFG.pdf" TargetMode="External"/><Relationship Id="rId_hyperlink_2763" Type="http://schemas.openxmlformats.org/officeDocument/2006/relationships/hyperlink" Target="https://www.diodes.com/part/view/DMT3003LFGQ" TargetMode="External"/><Relationship Id="rId_hyperlink_2764" Type="http://schemas.openxmlformats.org/officeDocument/2006/relationships/hyperlink" Target="https://www.diodes.com/assets/Datasheets/DMT3003LFGQ.pdf" TargetMode="External"/><Relationship Id="rId_hyperlink_2765" Type="http://schemas.openxmlformats.org/officeDocument/2006/relationships/hyperlink" Target="https://www.diodes.com/part/view/DMT3004LFG" TargetMode="External"/><Relationship Id="rId_hyperlink_2766" Type="http://schemas.openxmlformats.org/officeDocument/2006/relationships/hyperlink" Target="https://www.diodes.com/assets/Datasheets/DMT3004LFG.pdf" TargetMode="External"/><Relationship Id="rId_hyperlink_2767" Type="http://schemas.openxmlformats.org/officeDocument/2006/relationships/hyperlink" Target="https://www.diodes.com/part/view/DMT3004LPS" TargetMode="External"/><Relationship Id="rId_hyperlink_2768" Type="http://schemas.openxmlformats.org/officeDocument/2006/relationships/hyperlink" Target="https://www.diodes.com/assets/Datasheets/DMT3004LPS.pdf" TargetMode="External"/><Relationship Id="rId_hyperlink_2769" Type="http://schemas.openxmlformats.org/officeDocument/2006/relationships/hyperlink" Target="https://www.diodes.com/part/view/DMT3006LDK" TargetMode="External"/><Relationship Id="rId_hyperlink_2770" Type="http://schemas.openxmlformats.org/officeDocument/2006/relationships/hyperlink" Target="https://www.diodes.com/assets/Datasheets/DMT3006LDK.pdf" TargetMode="External"/><Relationship Id="rId_hyperlink_2771" Type="http://schemas.openxmlformats.org/officeDocument/2006/relationships/hyperlink" Target="https://www.diodes.com/part/view/DMT3006LDV" TargetMode="External"/><Relationship Id="rId_hyperlink_2772" Type="http://schemas.openxmlformats.org/officeDocument/2006/relationships/hyperlink" Target="https://www.diodes.com/assets/Datasheets/DMT3006LDV.pdf" TargetMode="External"/><Relationship Id="rId_hyperlink_2773" Type="http://schemas.openxmlformats.org/officeDocument/2006/relationships/hyperlink" Target="https://www.diodes.com/part/view/DMT3006LFDF" TargetMode="External"/><Relationship Id="rId_hyperlink_2774" Type="http://schemas.openxmlformats.org/officeDocument/2006/relationships/hyperlink" Target="https://www.diodes.com/assets/Datasheets/DMT3006LFDF.pdf" TargetMode="External"/><Relationship Id="rId_hyperlink_2775" Type="http://schemas.openxmlformats.org/officeDocument/2006/relationships/hyperlink" Target="https://www.diodes.com/part/view/DMT3006LFDFQ" TargetMode="External"/><Relationship Id="rId_hyperlink_2776" Type="http://schemas.openxmlformats.org/officeDocument/2006/relationships/hyperlink" Target="https://www.diodes.com/assets/Datasheets/DMT3006LFDFQ.pdf" TargetMode="External"/><Relationship Id="rId_hyperlink_2777" Type="http://schemas.openxmlformats.org/officeDocument/2006/relationships/hyperlink" Target="https://www.diodes.com/part/view/DMT3006LFG" TargetMode="External"/><Relationship Id="rId_hyperlink_2778" Type="http://schemas.openxmlformats.org/officeDocument/2006/relationships/hyperlink" Target="https://www.diodes.com/assets/Datasheets/DMT3006LFG.pdf" TargetMode="External"/><Relationship Id="rId_hyperlink_2779" Type="http://schemas.openxmlformats.org/officeDocument/2006/relationships/hyperlink" Target="https://www.diodes.com/part/view/DMT3006LFV" TargetMode="External"/><Relationship Id="rId_hyperlink_2780" Type="http://schemas.openxmlformats.org/officeDocument/2006/relationships/hyperlink" Target="https://www.diodes.com/assets/Datasheets/DMT3006LFV.pdf" TargetMode="External"/><Relationship Id="rId_hyperlink_2781" Type="http://schemas.openxmlformats.org/officeDocument/2006/relationships/hyperlink" Target="https://www.diodes.com/part/view/DMT3006LFVQ" TargetMode="External"/><Relationship Id="rId_hyperlink_2782" Type="http://schemas.openxmlformats.org/officeDocument/2006/relationships/hyperlink" Target="https://www.diodes.com/assets/Datasheets/DMT3006LFVQ.pdf" TargetMode="External"/><Relationship Id="rId_hyperlink_2783" Type="http://schemas.openxmlformats.org/officeDocument/2006/relationships/hyperlink" Target="https://www.diodes.com/part/view/DMT3006LPB" TargetMode="External"/><Relationship Id="rId_hyperlink_2784" Type="http://schemas.openxmlformats.org/officeDocument/2006/relationships/hyperlink" Target="https://www.diodes.com/assets/Datasheets/DMT3006LPB.pdf" TargetMode="External"/><Relationship Id="rId_hyperlink_2785" Type="http://schemas.openxmlformats.org/officeDocument/2006/relationships/hyperlink" Target="https://www.diodes.com/part/view/DMT3006LPS" TargetMode="External"/><Relationship Id="rId_hyperlink_2786" Type="http://schemas.openxmlformats.org/officeDocument/2006/relationships/hyperlink" Target="https://www.diodes.com/assets/Datasheets/DMT3006LPS.pdf" TargetMode="External"/><Relationship Id="rId_hyperlink_2787" Type="http://schemas.openxmlformats.org/officeDocument/2006/relationships/hyperlink" Target="https://www.diodes.com/part/view/DMT3008LFDF" TargetMode="External"/><Relationship Id="rId_hyperlink_2788" Type="http://schemas.openxmlformats.org/officeDocument/2006/relationships/hyperlink" Target="https://www.diodes.com/assets/Datasheets/DMT3008LFDF.pdf" TargetMode="External"/><Relationship Id="rId_hyperlink_2789" Type="http://schemas.openxmlformats.org/officeDocument/2006/relationships/hyperlink" Target="https://www.diodes.com/part/view/DMT3009LDT" TargetMode="External"/><Relationship Id="rId_hyperlink_2790" Type="http://schemas.openxmlformats.org/officeDocument/2006/relationships/hyperlink" Target="https://www.diodes.com/assets/Datasheets/DMT3009LDT.pdf" TargetMode="External"/><Relationship Id="rId_hyperlink_2791" Type="http://schemas.openxmlformats.org/officeDocument/2006/relationships/hyperlink" Target="https://www.diodes.com/part/view/DMT3009LEV" TargetMode="External"/><Relationship Id="rId_hyperlink_2792" Type="http://schemas.openxmlformats.org/officeDocument/2006/relationships/hyperlink" Target="https://www.diodes.com/assets/Datasheets/DMT3009LEV.pdf" TargetMode="External"/><Relationship Id="rId_hyperlink_2793" Type="http://schemas.openxmlformats.org/officeDocument/2006/relationships/hyperlink" Target="https://www.diodes.com/part/view/DMT3009LFVW" TargetMode="External"/><Relationship Id="rId_hyperlink_2794" Type="http://schemas.openxmlformats.org/officeDocument/2006/relationships/hyperlink" Target="https://www.diodes.com/assets/Datasheets/DMT3009LFVW.pdf" TargetMode="External"/><Relationship Id="rId_hyperlink_2795" Type="http://schemas.openxmlformats.org/officeDocument/2006/relationships/hyperlink" Target="https://www.diodes.com/part/view/DMT3009LFVWQ" TargetMode="External"/><Relationship Id="rId_hyperlink_2796" Type="http://schemas.openxmlformats.org/officeDocument/2006/relationships/hyperlink" Target="https://www.diodes.com/assets/Datasheets/DMT3009LFVWQ.pdf" TargetMode="External"/><Relationship Id="rId_hyperlink_2797" Type="http://schemas.openxmlformats.org/officeDocument/2006/relationships/hyperlink" Target="https://www.diodes.com/part/view/DMT3009UDT" TargetMode="External"/><Relationship Id="rId_hyperlink_2798" Type="http://schemas.openxmlformats.org/officeDocument/2006/relationships/hyperlink" Target="https://www.diodes.com/assets/Datasheets/DMT3009UDT.pdf" TargetMode="External"/><Relationship Id="rId_hyperlink_2799" Type="http://schemas.openxmlformats.org/officeDocument/2006/relationships/hyperlink" Target="https://www.diodes.com/part/view/DMT3009UFVW" TargetMode="External"/><Relationship Id="rId_hyperlink_2800" Type="http://schemas.openxmlformats.org/officeDocument/2006/relationships/hyperlink" Target="https://www.diodes.com/assets/Datasheets/DMT3009UFVW.pdf" TargetMode="External"/><Relationship Id="rId_hyperlink_2801" Type="http://schemas.openxmlformats.org/officeDocument/2006/relationships/hyperlink" Target="https://www.diodes.com/part/view/DMT3011LDT" TargetMode="External"/><Relationship Id="rId_hyperlink_2802" Type="http://schemas.openxmlformats.org/officeDocument/2006/relationships/hyperlink" Target="https://www.diodes.com/assets/Datasheets/DMT3011LDT.pdf" TargetMode="External"/><Relationship Id="rId_hyperlink_2803" Type="http://schemas.openxmlformats.org/officeDocument/2006/relationships/hyperlink" Target="https://www.diodes.com/part/view/DMT3020LDT" TargetMode="External"/><Relationship Id="rId_hyperlink_2804" Type="http://schemas.openxmlformats.org/officeDocument/2006/relationships/hyperlink" Target="https://www.diodes.com/assets/Datasheets/DMT3020LDT.pdf" TargetMode="External"/><Relationship Id="rId_hyperlink_2805" Type="http://schemas.openxmlformats.org/officeDocument/2006/relationships/hyperlink" Target="https://www.diodes.com/part/view/DMT3020LDV" TargetMode="External"/><Relationship Id="rId_hyperlink_2806" Type="http://schemas.openxmlformats.org/officeDocument/2006/relationships/hyperlink" Target="https://www.diodes.com/assets/Datasheets/DMT3020LDV.pdf" TargetMode="External"/><Relationship Id="rId_hyperlink_2807" Type="http://schemas.openxmlformats.org/officeDocument/2006/relationships/hyperlink" Target="https://www.diodes.com/part/view/DMT3020LFCL" TargetMode="External"/><Relationship Id="rId_hyperlink_2808" Type="http://schemas.openxmlformats.org/officeDocument/2006/relationships/hyperlink" Target="https://www.diodes.com/assets/Datasheets/DMT3020LFCL.pdf" TargetMode="External"/><Relationship Id="rId_hyperlink_2809" Type="http://schemas.openxmlformats.org/officeDocument/2006/relationships/hyperlink" Target="https://www.diodes.com/part/view/DMT3020LFDB" TargetMode="External"/><Relationship Id="rId_hyperlink_2810" Type="http://schemas.openxmlformats.org/officeDocument/2006/relationships/hyperlink" Target="https://www.diodes.com/assets/Datasheets/DMT3020LFDB.pdf" TargetMode="External"/><Relationship Id="rId_hyperlink_2811" Type="http://schemas.openxmlformats.org/officeDocument/2006/relationships/hyperlink" Target="https://www.diodes.com/part/view/DMT3020LFDBQ" TargetMode="External"/><Relationship Id="rId_hyperlink_2812" Type="http://schemas.openxmlformats.org/officeDocument/2006/relationships/hyperlink" Target="https://www.diodes.com/assets/Datasheets/DMT3020LFDBQ.pdf" TargetMode="External"/><Relationship Id="rId_hyperlink_2813" Type="http://schemas.openxmlformats.org/officeDocument/2006/relationships/hyperlink" Target="https://www.diodes.com/part/view/DMT3020LFDF" TargetMode="External"/><Relationship Id="rId_hyperlink_2814" Type="http://schemas.openxmlformats.org/officeDocument/2006/relationships/hyperlink" Target="https://www.diodes.com/assets/Datasheets/DMT3020LFDF.pdf" TargetMode="External"/><Relationship Id="rId_hyperlink_2815" Type="http://schemas.openxmlformats.org/officeDocument/2006/relationships/hyperlink" Target="https://www.diodes.com/part/view/DMT3020LFDFQ" TargetMode="External"/><Relationship Id="rId_hyperlink_2816" Type="http://schemas.openxmlformats.org/officeDocument/2006/relationships/hyperlink" Target="https://www.diodes.com/assets/Datasheets/DMT3020LFDFQ.pdf" TargetMode="External"/><Relationship Id="rId_hyperlink_2817" Type="http://schemas.openxmlformats.org/officeDocument/2006/relationships/hyperlink" Target="https://www.diodes.com/part/view/DMT3020LFVW" TargetMode="External"/><Relationship Id="rId_hyperlink_2818" Type="http://schemas.openxmlformats.org/officeDocument/2006/relationships/hyperlink" Target="https://www.diodes.com/assets/Datasheets/DMT3020LFVW.pdf" TargetMode="External"/><Relationship Id="rId_hyperlink_2819" Type="http://schemas.openxmlformats.org/officeDocument/2006/relationships/hyperlink" Target="https://www.diodes.com/part/view/DMT3020LSD" TargetMode="External"/><Relationship Id="rId_hyperlink_2820" Type="http://schemas.openxmlformats.org/officeDocument/2006/relationships/hyperlink" Target="https://www.diodes.com/assets/Datasheets/DMT3020LSD.pdf" TargetMode="External"/><Relationship Id="rId_hyperlink_2821" Type="http://schemas.openxmlformats.org/officeDocument/2006/relationships/hyperlink" Target="https://www.diodes.com/part/view/DMT3020LSDQ" TargetMode="External"/><Relationship Id="rId_hyperlink_2822" Type="http://schemas.openxmlformats.org/officeDocument/2006/relationships/hyperlink" Target="https://www.diodes.com/assets/Datasheets/DMT3020LSDQ.pdf" TargetMode="External"/><Relationship Id="rId_hyperlink_2823" Type="http://schemas.openxmlformats.org/officeDocument/2006/relationships/hyperlink" Target="https://www.diodes.com/part/view/DMT3020UFDB" TargetMode="External"/><Relationship Id="rId_hyperlink_2824" Type="http://schemas.openxmlformats.org/officeDocument/2006/relationships/hyperlink" Target="https://www.diodes.com/assets/Datasheets/DMT3020UFDB.pdf" TargetMode="External"/><Relationship Id="rId_hyperlink_2825" Type="http://schemas.openxmlformats.org/officeDocument/2006/relationships/hyperlink" Target="https://www.diodes.com/part/view/DMT3022UEV" TargetMode="External"/><Relationship Id="rId_hyperlink_2826" Type="http://schemas.openxmlformats.org/officeDocument/2006/relationships/hyperlink" Target="https://www.diodes.com/assets/Datasheets/DMT3022UEV.pdf" TargetMode="External"/><Relationship Id="rId_hyperlink_2827" Type="http://schemas.openxmlformats.org/officeDocument/2006/relationships/hyperlink" Target="https://www.diodes.com/part/view/DMT30M9LPS" TargetMode="External"/><Relationship Id="rId_hyperlink_2828" Type="http://schemas.openxmlformats.org/officeDocument/2006/relationships/hyperlink" Target="https://www.diodes.com/assets/Datasheets/DMT30M9LPS.pdf" TargetMode="External"/><Relationship Id="rId_hyperlink_2829" Type="http://schemas.openxmlformats.org/officeDocument/2006/relationships/hyperlink" Target="https://www.diodes.com/part/view/DMT31M6LPS" TargetMode="External"/><Relationship Id="rId_hyperlink_2830" Type="http://schemas.openxmlformats.org/officeDocument/2006/relationships/hyperlink" Target="https://www.diodes.com/assets/Datasheets/DMT31M6LPS.pdf" TargetMode="External"/><Relationship Id="rId_hyperlink_2831" Type="http://schemas.openxmlformats.org/officeDocument/2006/relationships/hyperlink" Target="https://www.diodes.com/part/view/DMT31M7LPS" TargetMode="External"/><Relationship Id="rId_hyperlink_2832" Type="http://schemas.openxmlformats.org/officeDocument/2006/relationships/hyperlink" Target="https://www.diodes.com/assets/Datasheets/DMT31M7LPS.pdf" TargetMode="External"/><Relationship Id="rId_hyperlink_2833" Type="http://schemas.openxmlformats.org/officeDocument/2006/relationships/hyperlink" Target="https://www.diodes.com/part/view/DMT31M7LSS" TargetMode="External"/><Relationship Id="rId_hyperlink_2834" Type="http://schemas.openxmlformats.org/officeDocument/2006/relationships/hyperlink" Target="https://www.diodes.com/assets/Datasheets/DMT31M7LSS.pdf" TargetMode="External"/><Relationship Id="rId_hyperlink_2835" Type="http://schemas.openxmlformats.org/officeDocument/2006/relationships/hyperlink" Target="https://www.diodes.com/part/view/DMT32M4LFG" TargetMode="External"/><Relationship Id="rId_hyperlink_2836" Type="http://schemas.openxmlformats.org/officeDocument/2006/relationships/hyperlink" Target="https://www.diodes.com/assets/Datasheets/DMT32M4LFG.pdf" TargetMode="External"/><Relationship Id="rId_hyperlink_2837" Type="http://schemas.openxmlformats.org/officeDocument/2006/relationships/hyperlink" Target="https://www.diodes.com/part/view/DMT32M4LPSW" TargetMode="External"/><Relationship Id="rId_hyperlink_2838" Type="http://schemas.openxmlformats.org/officeDocument/2006/relationships/hyperlink" Target="https://www.diodes.com/assets/Datasheets/DMT32M4LPSW.pdf" TargetMode="External"/><Relationship Id="rId_hyperlink_2839" Type="http://schemas.openxmlformats.org/officeDocument/2006/relationships/hyperlink" Target="https://www.diodes.com/part/view/DMT32M5LFG" TargetMode="External"/><Relationship Id="rId_hyperlink_2840" Type="http://schemas.openxmlformats.org/officeDocument/2006/relationships/hyperlink" Target="https://www.diodes.com/assets/Datasheets/DMT32M5LFG.pdf" TargetMode="External"/><Relationship Id="rId_hyperlink_2841" Type="http://schemas.openxmlformats.org/officeDocument/2006/relationships/hyperlink" Target="https://www.diodes.com/part/view/DMT32M5LPS" TargetMode="External"/><Relationship Id="rId_hyperlink_2842" Type="http://schemas.openxmlformats.org/officeDocument/2006/relationships/hyperlink" Target="https://www.diodes.com/assets/Datasheets/DMT32M5LPS.pdf" TargetMode="External"/><Relationship Id="rId_hyperlink_2843" Type="http://schemas.openxmlformats.org/officeDocument/2006/relationships/hyperlink" Target="https://www.diodes.com/part/view/DMT32M5LPSW" TargetMode="External"/><Relationship Id="rId_hyperlink_2844" Type="http://schemas.openxmlformats.org/officeDocument/2006/relationships/hyperlink" Target="https://www.diodes.com/assets/Datasheets/DMT32M5LPSW.pdf" TargetMode="External"/><Relationship Id="rId_hyperlink_2845" Type="http://schemas.openxmlformats.org/officeDocument/2006/relationships/hyperlink" Target="https://www.diodes.com/part/view/DMT32M6LDG" TargetMode="External"/><Relationship Id="rId_hyperlink_2846" Type="http://schemas.openxmlformats.org/officeDocument/2006/relationships/hyperlink" Target="https://www.diodes.com/assets/Datasheets/DMT32M6LDG.pdf" TargetMode="External"/><Relationship Id="rId_hyperlink_2847" Type="http://schemas.openxmlformats.org/officeDocument/2006/relationships/hyperlink" Target="https://www.diodes.com/part/view/DMT34M1LPS" TargetMode="External"/><Relationship Id="rId_hyperlink_2848" Type="http://schemas.openxmlformats.org/officeDocument/2006/relationships/hyperlink" Target="https://www.diodes.com/assets/Datasheets/DMT34M1LPS.pdf" TargetMode="External"/><Relationship Id="rId_hyperlink_2849" Type="http://schemas.openxmlformats.org/officeDocument/2006/relationships/hyperlink" Target="https://www.diodes.com/part/view/DMT34M8LFDE" TargetMode="External"/><Relationship Id="rId_hyperlink_2850" Type="http://schemas.openxmlformats.org/officeDocument/2006/relationships/hyperlink" Target="https://www.diodes.com/assets/Datasheets/DMT34M8LFDE.pdf" TargetMode="External"/><Relationship Id="rId_hyperlink_2851" Type="http://schemas.openxmlformats.org/officeDocument/2006/relationships/hyperlink" Target="https://www.diodes.com/part/view/DMT35M4LFDF" TargetMode="External"/><Relationship Id="rId_hyperlink_2852" Type="http://schemas.openxmlformats.org/officeDocument/2006/relationships/hyperlink" Target="https://www.diodes.com/assets/Datasheets/DMT35M4LFDF.pdf" TargetMode="External"/><Relationship Id="rId_hyperlink_2853" Type="http://schemas.openxmlformats.org/officeDocument/2006/relationships/hyperlink" Target="https://www.diodes.com/part/view/DMT35M4LFDF4" TargetMode="External"/><Relationship Id="rId_hyperlink_2854" Type="http://schemas.openxmlformats.org/officeDocument/2006/relationships/hyperlink" Target="https://www.diodes.com/assets/Datasheets/DMT35M4LFDF4.pdf" TargetMode="External"/><Relationship Id="rId_hyperlink_2855" Type="http://schemas.openxmlformats.org/officeDocument/2006/relationships/hyperlink" Target="https://www.diodes.com/part/view/DMT35M4LFVW" TargetMode="External"/><Relationship Id="rId_hyperlink_2856" Type="http://schemas.openxmlformats.org/officeDocument/2006/relationships/hyperlink" Target="https://www.diodes.com/assets/Datasheets/DMT35M4LFVW.pdf" TargetMode="External"/><Relationship Id="rId_hyperlink_2857" Type="http://schemas.openxmlformats.org/officeDocument/2006/relationships/hyperlink" Target="https://www.diodes.com/part/view/DMT35M4LPSW" TargetMode="External"/><Relationship Id="rId_hyperlink_2858" Type="http://schemas.openxmlformats.org/officeDocument/2006/relationships/hyperlink" Target="https://www.diodes.com/assets/Datasheets/DMT35M4LPSW.pdf" TargetMode="External"/><Relationship Id="rId_hyperlink_2859" Type="http://schemas.openxmlformats.org/officeDocument/2006/relationships/hyperlink" Target="https://www.diodes.com/part/view/DMT35M7LFV" TargetMode="External"/><Relationship Id="rId_hyperlink_2860" Type="http://schemas.openxmlformats.org/officeDocument/2006/relationships/hyperlink" Target="https://www.diodes.com/assets/Datasheets/DMT35M7LFV.pdf" TargetMode="External"/><Relationship Id="rId_hyperlink_2861" Type="http://schemas.openxmlformats.org/officeDocument/2006/relationships/hyperlink" Target="https://www.diodes.com/part/view/DMT35M8LDG" TargetMode="External"/><Relationship Id="rId_hyperlink_2862" Type="http://schemas.openxmlformats.org/officeDocument/2006/relationships/hyperlink" Target="https://www.diodes.com/assets/Datasheets/DMT35M8LDG.pdf" TargetMode="External"/><Relationship Id="rId_hyperlink_2863" Type="http://schemas.openxmlformats.org/officeDocument/2006/relationships/hyperlink" Target="https://www.diodes.com/part/view/DMT36M1LPS" TargetMode="External"/><Relationship Id="rId_hyperlink_2864" Type="http://schemas.openxmlformats.org/officeDocument/2006/relationships/hyperlink" Target="https://www.diodes.com/assets/Datasheets/DMT36M1LPS.pdf" TargetMode="External"/><Relationship Id="rId_hyperlink_2865" Type="http://schemas.openxmlformats.org/officeDocument/2006/relationships/hyperlink" Target="https://www.diodes.com/part/view/DMT4002LPS" TargetMode="External"/><Relationship Id="rId_hyperlink_2866" Type="http://schemas.openxmlformats.org/officeDocument/2006/relationships/hyperlink" Target="https://www.diodes.com/assets/Datasheets/DMT4002LPS.pdf" TargetMode="External"/><Relationship Id="rId_hyperlink_2867" Type="http://schemas.openxmlformats.org/officeDocument/2006/relationships/hyperlink" Target="https://www.diodes.com/part/view/DMT4003SCT" TargetMode="External"/><Relationship Id="rId_hyperlink_2868" Type="http://schemas.openxmlformats.org/officeDocument/2006/relationships/hyperlink" Target="https://www.diodes.com/assets/Datasheets/DMT4003SCT.pdf" TargetMode="External"/><Relationship Id="rId_hyperlink_2869" Type="http://schemas.openxmlformats.org/officeDocument/2006/relationships/hyperlink" Target="https://www.diodes.com/part/view/DMT4004LPS" TargetMode="External"/><Relationship Id="rId_hyperlink_2870" Type="http://schemas.openxmlformats.org/officeDocument/2006/relationships/hyperlink" Target="https://www.diodes.com/assets/Datasheets/DMT4004LPS.pdf" TargetMode="External"/><Relationship Id="rId_hyperlink_2871" Type="http://schemas.openxmlformats.org/officeDocument/2006/relationships/hyperlink" Target="https://www.diodes.com/part/view/DMT4005SCT" TargetMode="External"/><Relationship Id="rId_hyperlink_2872" Type="http://schemas.openxmlformats.org/officeDocument/2006/relationships/hyperlink" Target="https://www.diodes.com/assets/Datasheets/DMT4005SCT.pdf" TargetMode="External"/><Relationship Id="rId_hyperlink_2873" Type="http://schemas.openxmlformats.org/officeDocument/2006/relationships/hyperlink" Target="https://www.diodes.com/part/view/DMT4008LFDF" TargetMode="External"/><Relationship Id="rId_hyperlink_2874" Type="http://schemas.openxmlformats.org/officeDocument/2006/relationships/hyperlink" Target="https://www.diodes.com/assets/Datasheets/DMT4008LFDF.pdf" TargetMode="External"/><Relationship Id="rId_hyperlink_2875" Type="http://schemas.openxmlformats.org/officeDocument/2006/relationships/hyperlink" Target="https://www.diodes.com/part/view/DMT4008LFV" TargetMode="External"/><Relationship Id="rId_hyperlink_2876" Type="http://schemas.openxmlformats.org/officeDocument/2006/relationships/hyperlink" Target="https://www.diodes.com/assets/Datasheets/DMT4008LFV.pdf" TargetMode="External"/><Relationship Id="rId_hyperlink_2877" Type="http://schemas.openxmlformats.org/officeDocument/2006/relationships/hyperlink" Target="https://www.diodes.com/part/view/DMT4008LSS" TargetMode="External"/><Relationship Id="rId_hyperlink_2878" Type="http://schemas.openxmlformats.org/officeDocument/2006/relationships/hyperlink" Target="https://www.diodes.com/assets/Datasheets/DMT4008LSS.pdf" TargetMode="External"/><Relationship Id="rId_hyperlink_2879" Type="http://schemas.openxmlformats.org/officeDocument/2006/relationships/hyperlink" Target="https://www.diodes.com/part/view/DMT4011LFG" TargetMode="External"/><Relationship Id="rId_hyperlink_2880" Type="http://schemas.openxmlformats.org/officeDocument/2006/relationships/hyperlink" Target="https://www.diodes.com/assets/Datasheets/DMT4011LFG.pdf" TargetMode="External"/><Relationship Id="rId_hyperlink_2881" Type="http://schemas.openxmlformats.org/officeDocument/2006/relationships/hyperlink" Target="https://www.diodes.com/part/view/DMT4011LSS" TargetMode="External"/><Relationship Id="rId_hyperlink_2882" Type="http://schemas.openxmlformats.org/officeDocument/2006/relationships/hyperlink" Target="https://www.diodes.com/assets/Datasheets/DMT4011LSS.pdf" TargetMode="External"/><Relationship Id="rId_hyperlink_2883" Type="http://schemas.openxmlformats.org/officeDocument/2006/relationships/hyperlink" Target="https://www.diodes.com/part/view/DMT4014LDV" TargetMode="External"/><Relationship Id="rId_hyperlink_2884" Type="http://schemas.openxmlformats.org/officeDocument/2006/relationships/hyperlink" Target="https://www.diodes.com/assets/Datasheets/DMT4014LDV.pdf" TargetMode="External"/><Relationship Id="rId_hyperlink_2885" Type="http://schemas.openxmlformats.org/officeDocument/2006/relationships/hyperlink" Target="https://www.diodes.com/part/view/DMT4015LDV" TargetMode="External"/><Relationship Id="rId_hyperlink_2886" Type="http://schemas.openxmlformats.org/officeDocument/2006/relationships/hyperlink" Target="https://www.diodes.com/assets/Datasheets/DMT4015LDV.pdf" TargetMode="External"/><Relationship Id="rId_hyperlink_2887" Type="http://schemas.openxmlformats.org/officeDocument/2006/relationships/hyperlink" Target="https://www.diodes.com/part/view/DMT4031LFDF" TargetMode="External"/><Relationship Id="rId_hyperlink_2888" Type="http://schemas.openxmlformats.org/officeDocument/2006/relationships/hyperlink" Target="https://www.diodes.com/assets/Datasheets/DMT4031LFDF.pdf" TargetMode="External"/><Relationship Id="rId_hyperlink_2889" Type="http://schemas.openxmlformats.org/officeDocument/2006/relationships/hyperlink" Target="https://www.diodes.com/part/view/DMT4031LSD" TargetMode="External"/><Relationship Id="rId_hyperlink_2890" Type="http://schemas.openxmlformats.org/officeDocument/2006/relationships/hyperlink" Target="https://www.diodes.com/assets/Datasheets/DMT4031LSD.pdf" TargetMode="External"/><Relationship Id="rId_hyperlink_2891" Type="http://schemas.openxmlformats.org/officeDocument/2006/relationships/hyperlink" Target="https://www.diodes.com/part/view/DMT43M8LFV" TargetMode="External"/><Relationship Id="rId_hyperlink_2892" Type="http://schemas.openxmlformats.org/officeDocument/2006/relationships/hyperlink" Target="https://www.diodes.com/assets/Datasheets/DMT43M8LFV.pdf" TargetMode="External"/><Relationship Id="rId_hyperlink_2893" Type="http://schemas.openxmlformats.org/officeDocument/2006/relationships/hyperlink" Target="https://www.diodes.com/part/view/DMT47M2LDV" TargetMode="External"/><Relationship Id="rId_hyperlink_2894" Type="http://schemas.openxmlformats.org/officeDocument/2006/relationships/hyperlink" Target="https://www.diodes.com/assets/Datasheets/DMT47M2LDV.pdf" TargetMode="External"/><Relationship Id="rId_hyperlink_2895" Type="http://schemas.openxmlformats.org/officeDocument/2006/relationships/hyperlink" Target="https://www.diodes.com/part/view/DMT47M2LDVQ" TargetMode="External"/><Relationship Id="rId_hyperlink_2896" Type="http://schemas.openxmlformats.org/officeDocument/2006/relationships/hyperlink" Target="https://www.diodes.com/assets/Datasheets/DMT47M2LDVQ.pdf" TargetMode="External"/><Relationship Id="rId_hyperlink_2897" Type="http://schemas.openxmlformats.org/officeDocument/2006/relationships/hyperlink" Target="https://www.diodes.com/part/view/DMT47M2SFVW" TargetMode="External"/><Relationship Id="rId_hyperlink_2898" Type="http://schemas.openxmlformats.org/officeDocument/2006/relationships/hyperlink" Target="https://www.diodes.com/assets/Datasheets/DMT47M2SFVW.pdf" TargetMode="External"/><Relationship Id="rId_hyperlink_2899" Type="http://schemas.openxmlformats.org/officeDocument/2006/relationships/hyperlink" Target="https://www.diodes.com/part/view/DMT47M2SFVWQ" TargetMode="External"/><Relationship Id="rId_hyperlink_2900" Type="http://schemas.openxmlformats.org/officeDocument/2006/relationships/hyperlink" Target="https://www.diodes.com/assets/Datasheets/DMT47M2SFVWQ.pdf" TargetMode="External"/><Relationship Id="rId_hyperlink_2901" Type="http://schemas.openxmlformats.org/officeDocument/2006/relationships/hyperlink" Target="https://www.diodes.com/part/view/DMT5012LFVW" TargetMode="External"/><Relationship Id="rId_hyperlink_2902" Type="http://schemas.openxmlformats.org/officeDocument/2006/relationships/hyperlink" Target="https://www.diodes.com/assets/Datasheets/DMT5012LFVW.pdf" TargetMode="External"/><Relationship Id="rId_hyperlink_2903" Type="http://schemas.openxmlformats.org/officeDocument/2006/relationships/hyperlink" Target="https://www.diodes.com/part/view/DMT6002LPS" TargetMode="External"/><Relationship Id="rId_hyperlink_2904" Type="http://schemas.openxmlformats.org/officeDocument/2006/relationships/hyperlink" Target="https://www.diodes.com/assets/Datasheets/DMT6002LPS.pdf" TargetMode="External"/><Relationship Id="rId_hyperlink_2905" Type="http://schemas.openxmlformats.org/officeDocument/2006/relationships/hyperlink" Target="https://www.diodes.com/part/view/DMT6004LPS" TargetMode="External"/><Relationship Id="rId_hyperlink_2906" Type="http://schemas.openxmlformats.org/officeDocument/2006/relationships/hyperlink" Target="https://www.diodes.com/assets/Datasheets/DMT6004LPS.pdf" TargetMode="External"/><Relationship Id="rId_hyperlink_2907" Type="http://schemas.openxmlformats.org/officeDocument/2006/relationships/hyperlink" Target="https://www.diodes.com/part/view/DMT6004SCT" TargetMode="External"/><Relationship Id="rId_hyperlink_2908" Type="http://schemas.openxmlformats.org/officeDocument/2006/relationships/hyperlink" Target="https://www.diodes.com/assets/Datasheets/DMT6004SCT.pdf" TargetMode="External"/><Relationship Id="rId_hyperlink_2909" Type="http://schemas.openxmlformats.org/officeDocument/2006/relationships/hyperlink" Target="https://www.diodes.com/part/view/DMT6004SPS" TargetMode="External"/><Relationship Id="rId_hyperlink_2910" Type="http://schemas.openxmlformats.org/officeDocument/2006/relationships/hyperlink" Target="https://www.diodes.com/assets/Datasheets/DMT6004SPS.pdf" TargetMode="External"/><Relationship Id="rId_hyperlink_2911" Type="http://schemas.openxmlformats.org/officeDocument/2006/relationships/hyperlink" Target="https://www.diodes.com/part/view/DMT6005LCT" TargetMode="External"/><Relationship Id="rId_hyperlink_2912" Type="http://schemas.openxmlformats.org/officeDocument/2006/relationships/hyperlink" Target="https://www.diodes.com/assets/Datasheets/DMT6005LCT.pdf" TargetMode="External"/><Relationship Id="rId_hyperlink_2913" Type="http://schemas.openxmlformats.org/officeDocument/2006/relationships/hyperlink" Target="https://www.diodes.com/part/view/DMT6005LFG" TargetMode="External"/><Relationship Id="rId_hyperlink_2914" Type="http://schemas.openxmlformats.org/officeDocument/2006/relationships/hyperlink" Target="https://www.diodes.com/assets/Datasheets/DMT6005LFG.pdf" TargetMode="External"/><Relationship Id="rId_hyperlink_2915" Type="http://schemas.openxmlformats.org/officeDocument/2006/relationships/hyperlink" Target="https://www.diodes.com/part/view/DMT6005LPS" TargetMode="External"/><Relationship Id="rId_hyperlink_2916" Type="http://schemas.openxmlformats.org/officeDocument/2006/relationships/hyperlink" Target="https://www.diodes.com/assets/Datasheets/DMT6005LPS.pdf" TargetMode="External"/><Relationship Id="rId_hyperlink_2917" Type="http://schemas.openxmlformats.org/officeDocument/2006/relationships/hyperlink" Target="https://www.diodes.com/part/view/DMT6005LSS" TargetMode="External"/><Relationship Id="rId_hyperlink_2918" Type="http://schemas.openxmlformats.org/officeDocument/2006/relationships/hyperlink" Target="https://www.diodes.com/assets/Datasheets/DMT6005LSS.pdf" TargetMode="External"/><Relationship Id="rId_hyperlink_2919" Type="http://schemas.openxmlformats.org/officeDocument/2006/relationships/hyperlink" Target="https://www.diodes.com/part/view/DMT6006LK3" TargetMode="External"/><Relationship Id="rId_hyperlink_2920" Type="http://schemas.openxmlformats.org/officeDocument/2006/relationships/hyperlink" Target="https://www.diodes.com/assets/Datasheets/DMT6006LK3.pdf" TargetMode="External"/><Relationship Id="rId_hyperlink_2921" Type="http://schemas.openxmlformats.org/officeDocument/2006/relationships/hyperlink" Target="https://www.diodes.com/part/view/DMT6006LSS" TargetMode="External"/><Relationship Id="rId_hyperlink_2922" Type="http://schemas.openxmlformats.org/officeDocument/2006/relationships/hyperlink" Target="https://www.diodes.com/assets/Datasheets/DMT6006LSS.pdf" TargetMode="External"/><Relationship Id="rId_hyperlink_2923" Type="http://schemas.openxmlformats.org/officeDocument/2006/relationships/hyperlink" Target="https://www.diodes.com/part/view/DMT6006SPS" TargetMode="External"/><Relationship Id="rId_hyperlink_2924" Type="http://schemas.openxmlformats.org/officeDocument/2006/relationships/hyperlink" Target="https://www.diodes.com/assets/Datasheets/DMT6006SPS.pdf" TargetMode="External"/><Relationship Id="rId_hyperlink_2925" Type="http://schemas.openxmlformats.org/officeDocument/2006/relationships/hyperlink" Target="https://www.diodes.com/part/view/DMT6007LFG" TargetMode="External"/><Relationship Id="rId_hyperlink_2926" Type="http://schemas.openxmlformats.org/officeDocument/2006/relationships/hyperlink" Target="https://www.diodes.com/assets/Datasheets/DMT6007LFG.pdf" TargetMode="External"/><Relationship Id="rId_hyperlink_2927" Type="http://schemas.openxmlformats.org/officeDocument/2006/relationships/hyperlink" Target="https://www.diodes.com/part/view/DMT6007LFGQ" TargetMode="External"/><Relationship Id="rId_hyperlink_2928" Type="http://schemas.openxmlformats.org/officeDocument/2006/relationships/hyperlink" Target="https://www.diodes.com/assets/Datasheets/DMT6007LFGQ.pdf" TargetMode="External"/><Relationship Id="rId_hyperlink_2929" Type="http://schemas.openxmlformats.org/officeDocument/2006/relationships/hyperlink" Target="https://www.diodes.com/part/view/DMT6008LFG" TargetMode="External"/><Relationship Id="rId_hyperlink_2930" Type="http://schemas.openxmlformats.org/officeDocument/2006/relationships/hyperlink" Target="https://www.diodes.com/assets/Datasheets/DMT6008LFG.pdf" TargetMode="External"/><Relationship Id="rId_hyperlink_2931" Type="http://schemas.openxmlformats.org/officeDocument/2006/relationships/hyperlink" Target="https://www.diodes.com/part/view/DMT6009LCT" TargetMode="External"/><Relationship Id="rId_hyperlink_2932" Type="http://schemas.openxmlformats.org/officeDocument/2006/relationships/hyperlink" Target="https://www.diodes.com/assets/Datasheets/DMT6009LCT.pdf" TargetMode="External"/><Relationship Id="rId_hyperlink_2933" Type="http://schemas.openxmlformats.org/officeDocument/2006/relationships/hyperlink" Target="https://www.diodes.com/part/view/DMT6009LFG" TargetMode="External"/><Relationship Id="rId_hyperlink_2934" Type="http://schemas.openxmlformats.org/officeDocument/2006/relationships/hyperlink" Target="https://www.diodes.com/assets/Datasheets/DMT6009LFG.pdf" TargetMode="External"/><Relationship Id="rId_hyperlink_2935" Type="http://schemas.openxmlformats.org/officeDocument/2006/relationships/hyperlink" Target="https://www.diodes.com/part/view/DMT6009LK3" TargetMode="External"/><Relationship Id="rId_hyperlink_2936" Type="http://schemas.openxmlformats.org/officeDocument/2006/relationships/hyperlink" Target="https://www.diodes.com/assets/Datasheets/DMT6009LK3.pdf" TargetMode="External"/><Relationship Id="rId_hyperlink_2937" Type="http://schemas.openxmlformats.org/officeDocument/2006/relationships/hyperlink" Target="https://www.diodes.com/part/view/DMT6009LPS" TargetMode="External"/><Relationship Id="rId_hyperlink_2938" Type="http://schemas.openxmlformats.org/officeDocument/2006/relationships/hyperlink" Target="https://www.diodes.com/assets/Datasheets/DMT6009LPS.pdf" TargetMode="External"/><Relationship Id="rId_hyperlink_2939" Type="http://schemas.openxmlformats.org/officeDocument/2006/relationships/hyperlink" Target="https://www.diodes.com/part/view/DMT6009LSS" TargetMode="External"/><Relationship Id="rId_hyperlink_2940" Type="http://schemas.openxmlformats.org/officeDocument/2006/relationships/hyperlink" Target="https://www.diodes.com/assets/Datasheets/DMT6009LSS.pdf" TargetMode="External"/><Relationship Id="rId_hyperlink_2941" Type="http://schemas.openxmlformats.org/officeDocument/2006/relationships/hyperlink" Target="https://www.diodes.com/part/view/DMT6010LFG" TargetMode="External"/><Relationship Id="rId_hyperlink_2942" Type="http://schemas.openxmlformats.org/officeDocument/2006/relationships/hyperlink" Target="https://www.diodes.com/assets/Datasheets/DMT6010LFG.pdf" TargetMode="External"/><Relationship Id="rId_hyperlink_2943" Type="http://schemas.openxmlformats.org/officeDocument/2006/relationships/hyperlink" Target="https://www.diodes.com/part/view/DMT6010LPS" TargetMode="External"/><Relationship Id="rId_hyperlink_2944" Type="http://schemas.openxmlformats.org/officeDocument/2006/relationships/hyperlink" Target="https://www.diodes.com/assets/Datasheets/DMT6010LPS.pdf" TargetMode="External"/><Relationship Id="rId_hyperlink_2945" Type="http://schemas.openxmlformats.org/officeDocument/2006/relationships/hyperlink" Target="https://www.diodes.com/part/view/DMT6010LSS" TargetMode="External"/><Relationship Id="rId_hyperlink_2946" Type="http://schemas.openxmlformats.org/officeDocument/2006/relationships/hyperlink" Target="https://www.diodes.com/assets/Datasheets/DMT6010LSS.pdf" TargetMode="External"/><Relationship Id="rId_hyperlink_2947" Type="http://schemas.openxmlformats.org/officeDocument/2006/relationships/hyperlink" Target="https://www.diodes.com/part/view/DMT6010SCT" TargetMode="External"/><Relationship Id="rId_hyperlink_2948" Type="http://schemas.openxmlformats.org/officeDocument/2006/relationships/hyperlink" Target="https://www.diodes.com/assets/Datasheets/DMT6010SCT.pdf" TargetMode="External"/><Relationship Id="rId_hyperlink_2949" Type="http://schemas.openxmlformats.org/officeDocument/2006/relationships/hyperlink" Target="https://www.diodes.com/part/view/DMT6011LPDW" TargetMode="External"/><Relationship Id="rId_hyperlink_2950" Type="http://schemas.openxmlformats.org/officeDocument/2006/relationships/hyperlink" Target="https://www.diodes.com/assets/Datasheets/DMT6011LPDW.pdf" TargetMode="External"/><Relationship Id="rId_hyperlink_2951" Type="http://schemas.openxmlformats.org/officeDocument/2006/relationships/hyperlink" Target="https://www.diodes.com/part/view/DMT6011LSS" TargetMode="External"/><Relationship Id="rId_hyperlink_2952" Type="http://schemas.openxmlformats.org/officeDocument/2006/relationships/hyperlink" Target="https://www.diodes.com/assets/Datasheets/DMT6011LSS.pdf" TargetMode="External"/><Relationship Id="rId_hyperlink_2953" Type="http://schemas.openxmlformats.org/officeDocument/2006/relationships/hyperlink" Target="https://www.diodes.com/part/view/DMT6012LFDF" TargetMode="External"/><Relationship Id="rId_hyperlink_2954" Type="http://schemas.openxmlformats.org/officeDocument/2006/relationships/hyperlink" Target="https://www.diodes.com/assets/Datasheets/DMT6012LFDF.pdf" TargetMode="External"/><Relationship Id="rId_hyperlink_2955" Type="http://schemas.openxmlformats.org/officeDocument/2006/relationships/hyperlink" Target="https://www.diodes.com/part/view/DMT6012LFV" TargetMode="External"/><Relationship Id="rId_hyperlink_2956" Type="http://schemas.openxmlformats.org/officeDocument/2006/relationships/hyperlink" Target="https://www.diodes.com/assets/Datasheets/DMT6012LFV.pdf" TargetMode="External"/><Relationship Id="rId_hyperlink_2957" Type="http://schemas.openxmlformats.org/officeDocument/2006/relationships/hyperlink" Target="https://www.diodes.com/part/view/DMT6012LPSW" TargetMode="External"/><Relationship Id="rId_hyperlink_2958" Type="http://schemas.openxmlformats.org/officeDocument/2006/relationships/hyperlink" Target="https://www.diodes.com/assets/Datasheets/DMT6012LPSW.pdf" TargetMode="External"/><Relationship Id="rId_hyperlink_2959" Type="http://schemas.openxmlformats.org/officeDocument/2006/relationships/hyperlink" Target="https://www.diodes.com/part/view/DMT6012LSS" TargetMode="External"/><Relationship Id="rId_hyperlink_2960" Type="http://schemas.openxmlformats.org/officeDocument/2006/relationships/hyperlink" Target="https://www.diodes.com/assets/Datasheets/DMT6012LSS.pdf" TargetMode="External"/><Relationship Id="rId_hyperlink_2961" Type="http://schemas.openxmlformats.org/officeDocument/2006/relationships/hyperlink" Target="https://www.diodes.com/part/view/DMT6013LFDF" TargetMode="External"/><Relationship Id="rId_hyperlink_2962" Type="http://schemas.openxmlformats.org/officeDocument/2006/relationships/hyperlink" Target="https://www.diodes.com/assets/Datasheets/DMT6013LFDF.pdf" TargetMode="External"/><Relationship Id="rId_hyperlink_2963" Type="http://schemas.openxmlformats.org/officeDocument/2006/relationships/hyperlink" Target="https://www.diodes.com/part/view/DMT6013LSS" TargetMode="External"/><Relationship Id="rId_hyperlink_2964" Type="http://schemas.openxmlformats.org/officeDocument/2006/relationships/hyperlink" Target="https://www.diodes.com/assets/Datasheets/DMT6013LSS.pdf" TargetMode="External"/><Relationship Id="rId_hyperlink_2965" Type="http://schemas.openxmlformats.org/officeDocument/2006/relationships/hyperlink" Target="https://www.diodes.com/part/view/DMT6015LFV" TargetMode="External"/><Relationship Id="rId_hyperlink_2966" Type="http://schemas.openxmlformats.org/officeDocument/2006/relationships/hyperlink" Target="https://www.diodes.com/assets/Datasheets/DMT6015LFV.pdf" TargetMode="External"/><Relationship Id="rId_hyperlink_2967" Type="http://schemas.openxmlformats.org/officeDocument/2006/relationships/hyperlink" Target="https://www.diodes.com/part/view/DMT6015LFVW" TargetMode="External"/><Relationship Id="rId_hyperlink_2968" Type="http://schemas.openxmlformats.org/officeDocument/2006/relationships/hyperlink" Target="https://www.diodes.com/assets/Datasheets/DMT6015LFVW.pdf" TargetMode="External"/><Relationship Id="rId_hyperlink_2969" Type="http://schemas.openxmlformats.org/officeDocument/2006/relationships/hyperlink" Target="https://www.diodes.com/part/view/DMT6015LPDW" TargetMode="External"/><Relationship Id="rId_hyperlink_2970" Type="http://schemas.openxmlformats.org/officeDocument/2006/relationships/hyperlink" Target="https://www.diodes.com/assets/Datasheets/DMT6015LPDW.pdf" TargetMode="External"/><Relationship Id="rId_hyperlink_2971" Type="http://schemas.openxmlformats.org/officeDocument/2006/relationships/hyperlink" Target="https://www.diodes.com/part/view/DMT6015LPS" TargetMode="External"/><Relationship Id="rId_hyperlink_2972" Type="http://schemas.openxmlformats.org/officeDocument/2006/relationships/hyperlink" Target="https://www.diodes.com/assets/Datasheets/DMT6015LPS.pdf" TargetMode="External"/><Relationship Id="rId_hyperlink_2973" Type="http://schemas.openxmlformats.org/officeDocument/2006/relationships/hyperlink" Target="https://www.diodes.com/part/view/DMT6015LSS" TargetMode="External"/><Relationship Id="rId_hyperlink_2974" Type="http://schemas.openxmlformats.org/officeDocument/2006/relationships/hyperlink" Target="https://www.diodes.com/assets/Datasheets/DMT6015LSS.pdf" TargetMode="External"/><Relationship Id="rId_hyperlink_2975" Type="http://schemas.openxmlformats.org/officeDocument/2006/relationships/hyperlink" Target="https://www.diodes.com/part/view/DMT6016LFDF" TargetMode="External"/><Relationship Id="rId_hyperlink_2976" Type="http://schemas.openxmlformats.org/officeDocument/2006/relationships/hyperlink" Target="https://www.diodes.com/assets/Datasheets/DMT6016LFDF.pdf" TargetMode="External"/><Relationship Id="rId_hyperlink_2977" Type="http://schemas.openxmlformats.org/officeDocument/2006/relationships/hyperlink" Target="https://www.diodes.com/part/view/DMT6016LPS" TargetMode="External"/><Relationship Id="rId_hyperlink_2978" Type="http://schemas.openxmlformats.org/officeDocument/2006/relationships/hyperlink" Target="https://www.diodes.com/assets/Datasheets/DMT6016LPS.pdf" TargetMode="External"/><Relationship Id="rId_hyperlink_2979" Type="http://schemas.openxmlformats.org/officeDocument/2006/relationships/hyperlink" Target="https://www.diodes.com/part/view/DMT6016LPSW" TargetMode="External"/><Relationship Id="rId_hyperlink_2980" Type="http://schemas.openxmlformats.org/officeDocument/2006/relationships/hyperlink" Target="https://www.diodes.com/assets/Datasheets/DMT6016LPSW.pdf" TargetMode="External"/><Relationship Id="rId_hyperlink_2981" Type="http://schemas.openxmlformats.org/officeDocument/2006/relationships/hyperlink" Target="https://www.diodes.com/part/view/DMT6016LSS" TargetMode="External"/><Relationship Id="rId_hyperlink_2982" Type="http://schemas.openxmlformats.org/officeDocument/2006/relationships/hyperlink" Target="https://www.diodes.com/assets/Datasheets/DMT6016LSS.pdf" TargetMode="External"/><Relationship Id="rId_hyperlink_2983" Type="http://schemas.openxmlformats.org/officeDocument/2006/relationships/hyperlink" Target="https://www.diodes.com/part/view/DMT6017LDV" TargetMode="External"/><Relationship Id="rId_hyperlink_2984" Type="http://schemas.openxmlformats.org/officeDocument/2006/relationships/hyperlink" Target="https://www.diodes.com/assets/Datasheets/DMT6017LDV.pdf" TargetMode="External"/><Relationship Id="rId_hyperlink_2985" Type="http://schemas.openxmlformats.org/officeDocument/2006/relationships/hyperlink" Target="https://www.diodes.com/part/view/DMT6017LFDF" TargetMode="External"/><Relationship Id="rId_hyperlink_2986" Type="http://schemas.openxmlformats.org/officeDocument/2006/relationships/hyperlink" Target="https://www.diodes.com/assets/Datasheets/DMT6017LFDF.pdf" TargetMode="External"/><Relationship Id="rId_hyperlink_2987" Type="http://schemas.openxmlformats.org/officeDocument/2006/relationships/hyperlink" Target="https://www.diodes.com/part/view/DMT6017LFV" TargetMode="External"/><Relationship Id="rId_hyperlink_2988" Type="http://schemas.openxmlformats.org/officeDocument/2006/relationships/hyperlink" Target="https://www.diodes.com/assets/Datasheets/DMT6017LFV.pdf" TargetMode="External"/><Relationship Id="rId_hyperlink_2989" Type="http://schemas.openxmlformats.org/officeDocument/2006/relationships/hyperlink" Target="https://www.diodes.com/part/view/DMT6017LSS" TargetMode="External"/><Relationship Id="rId_hyperlink_2990" Type="http://schemas.openxmlformats.org/officeDocument/2006/relationships/hyperlink" Target="https://www.diodes.com/assets/Datasheets/DMT6017LSS.pdf" TargetMode="External"/><Relationship Id="rId_hyperlink_2991" Type="http://schemas.openxmlformats.org/officeDocument/2006/relationships/hyperlink" Target="https://www.diodes.com/part/view/DMT6018LDR" TargetMode="External"/><Relationship Id="rId_hyperlink_2992" Type="http://schemas.openxmlformats.org/officeDocument/2006/relationships/hyperlink" Target="https://www.diodes.com/assets/Datasheets/DMT6018LDR.pdf" TargetMode="External"/><Relationship Id="rId_hyperlink_2993" Type="http://schemas.openxmlformats.org/officeDocument/2006/relationships/hyperlink" Target="https://www.diodes.com/part/view/DMT6030LFCL" TargetMode="External"/><Relationship Id="rId_hyperlink_2994" Type="http://schemas.openxmlformats.org/officeDocument/2006/relationships/hyperlink" Target="https://www.diodes.com/assets/Datasheets/DMT6030LFCL.pdf" TargetMode="External"/><Relationship Id="rId_hyperlink_2995" Type="http://schemas.openxmlformats.org/officeDocument/2006/relationships/hyperlink" Target="https://www.diodes.com/part/view/DMT6030LFDF" TargetMode="External"/><Relationship Id="rId_hyperlink_2996" Type="http://schemas.openxmlformats.org/officeDocument/2006/relationships/hyperlink" Target="https://www.diodes.com/assets/Datasheets/DMT6030LFDF.pdf" TargetMode="External"/><Relationship Id="rId_hyperlink_2997" Type="http://schemas.openxmlformats.org/officeDocument/2006/relationships/hyperlink" Target="https://www.diodes.com/part/view/DMT615MLFV" TargetMode="External"/><Relationship Id="rId_hyperlink_2998" Type="http://schemas.openxmlformats.org/officeDocument/2006/relationships/hyperlink" Target="https://www.diodes.com/assets/Datasheets/DMT615MLFV.pdf" TargetMode="External"/><Relationship Id="rId_hyperlink_2999" Type="http://schemas.openxmlformats.org/officeDocument/2006/relationships/hyperlink" Target="https://www.diodes.com/part/view/DMT616MLSS" TargetMode="External"/><Relationship Id="rId_hyperlink_3000" Type="http://schemas.openxmlformats.org/officeDocument/2006/relationships/hyperlink" Target="https://www.diodes.com/assets/Datasheets/DMT616MLSS.pdf" TargetMode="External"/><Relationship Id="rId_hyperlink_3001" Type="http://schemas.openxmlformats.org/officeDocument/2006/relationships/hyperlink" Target="https://www.diodes.com/part/view/DMT61M5SPSW" TargetMode="External"/><Relationship Id="rId_hyperlink_3002" Type="http://schemas.openxmlformats.org/officeDocument/2006/relationships/hyperlink" Target="https://www.diodes.com/assets/Datasheets/DMT61M5SPSW.pdf" TargetMode="External"/><Relationship Id="rId_hyperlink_3003" Type="http://schemas.openxmlformats.org/officeDocument/2006/relationships/hyperlink" Target="https://www.diodes.com/part/view/DMT61M8SPS" TargetMode="External"/><Relationship Id="rId_hyperlink_3004" Type="http://schemas.openxmlformats.org/officeDocument/2006/relationships/hyperlink" Target="https://www.diodes.com/assets/Datasheets/DMT61M8SPS.pdf" TargetMode="External"/><Relationship Id="rId_hyperlink_3005" Type="http://schemas.openxmlformats.org/officeDocument/2006/relationships/hyperlink" Target="https://www.diodes.com/part/view/DMT62M7SPSW" TargetMode="External"/><Relationship Id="rId_hyperlink_3006" Type="http://schemas.openxmlformats.org/officeDocument/2006/relationships/hyperlink" Target="https://www.diodes.com/assets/Datasheets/DMT62M7SPSW.pdf" TargetMode="External"/><Relationship Id="rId_hyperlink_3007" Type="http://schemas.openxmlformats.org/officeDocument/2006/relationships/hyperlink" Target="https://www.diodes.com/part/view/DMT64M1LCG" TargetMode="External"/><Relationship Id="rId_hyperlink_3008" Type="http://schemas.openxmlformats.org/officeDocument/2006/relationships/hyperlink" Target="https://www.diodes.com/assets/Datasheets/DMT64M1LCG.pdf" TargetMode="External"/><Relationship Id="rId_hyperlink_3009" Type="http://schemas.openxmlformats.org/officeDocument/2006/relationships/hyperlink" Target="https://www.diodes.com/part/view/DMT64M1LPSW" TargetMode="External"/><Relationship Id="rId_hyperlink_3010" Type="http://schemas.openxmlformats.org/officeDocument/2006/relationships/hyperlink" Target="https://www.diodes.com/assets/Datasheets/DMT64M1LPSW.pdf" TargetMode="External"/><Relationship Id="rId_hyperlink_3011" Type="http://schemas.openxmlformats.org/officeDocument/2006/relationships/hyperlink" Target="https://www.diodes.com/part/view/DMT64M2LPSW" TargetMode="External"/><Relationship Id="rId_hyperlink_3012" Type="http://schemas.openxmlformats.org/officeDocument/2006/relationships/hyperlink" Target="https://www.diodes.com/assets/Datasheets/DMT64M2LPSW.pdf" TargetMode="External"/><Relationship Id="rId_hyperlink_3013" Type="http://schemas.openxmlformats.org/officeDocument/2006/relationships/hyperlink" Target="https://www.diodes.com/part/view/DMT64M8LCG" TargetMode="External"/><Relationship Id="rId_hyperlink_3014" Type="http://schemas.openxmlformats.org/officeDocument/2006/relationships/hyperlink" Target="https://www.diodes.com/assets/Datasheets/DMT64M8LCG.pdf" TargetMode="External"/><Relationship Id="rId_hyperlink_3015" Type="http://schemas.openxmlformats.org/officeDocument/2006/relationships/hyperlink" Target="https://www.diodes.com/part/view/DMT64M8LSS" TargetMode="External"/><Relationship Id="rId_hyperlink_3016" Type="http://schemas.openxmlformats.org/officeDocument/2006/relationships/hyperlink" Target="https://www.diodes.com/assets/Datasheets/DMT64M8LSS.pdf" TargetMode="External"/><Relationship Id="rId_hyperlink_3017" Type="http://schemas.openxmlformats.org/officeDocument/2006/relationships/hyperlink" Target="https://www.diodes.com/part/view/DMT67M8LCG" TargetMode="External"/><Relationship Id="rId_hyperlink_3018" Type="http://schemas.openxmlformats.org/officeDocument/2006/relationships/hyperlink" Target="https://www.diodes.com/assets/Datasheets/DMT67M8LCG.pdf" TargetMode="External"/><Relationship Id="rId_hyperlink_3019" Type="http://schemas.openxmlformats.org/officeDocument/2006/relationships/hyperlink" Target="https://www.diodes.com/part/view/DMT67M8LCGQ" TargetMode="External"/><Relationship Id="rId_hyperlink_3020" Type="http://schemas.openxmlformats.org/officeDocument/2006/relationships/hyperlink" Target="https://www.diodes.com/assets/Datasheets/DMT67M8LCGQ.pdf" TargetMode="External"/><Relationship Id="rId_hyperlink_3021" Type="http://schemas.openxmlformats.org/officeDocument/2006/relationships/hyperlink" Target="https://www.diodes.com/part/view/DMT67M8LK3" TargetMode="External"/><Relationship Id="rId_hyperlink_3022" Type="http://schemas.openxmlformats.org/officeDocument/2006/relationships/hyperlink" Target="https://www.diodes.com/assets/Datasheets/DMT67M8LK3.pdf" TargetMode="External"/><Relationship Id="rId_hyperlink_3023" Type="http://schemas.openxmlformats.org/officeDocument/2006/relationships/hyperlink" Target="https://www.diodes.com/part/view/DMT67M8LPSW" TargetMode="External"/><Relationship Id="rId_hyperlink_3024" Type="http://schemas.openxmlformats.org/officeDocument/2006/relationships/hyperlink" Target="https://www.diodes.com/assets/Datasheets/DMT67M8LPSW.pdf" TargetMode="External"/><Relationship Id="rId_hyperlink_3025" Type="http://schemas.openxmlformats.org/officeDocument/2006/relationships/hyperlink" Target="https://www.diodes.com/part/view/DMT67M8LSS" TargetMode="External"/><Relationship Id="rId_hyperlink_3026" Type="http://schemas.openxmlformats.org/officeDocument/2006/relationships/hyperlink" Target="https://www.diodes.com/assets/Datasheets/DMT67M8LSS.pdf" TargetMode="External"/><Relationship Id="rId_hyperlink_3027" Type="http://schemas.openxmlformats.org/officeDocument/2006/relationships/hyperlink" Target="https://www.diodes.com/part/view/DMT68M8LFV" TargetMode="External"/><Relationship Id="rId_hyperlink_3028" Type="http://schemas.openxmlformats.org/officeDocument/2006/relationships/hyperlink" Target="https://www.diodes.com/assets/Datasheets/DMT68M8LFV.pdf" TargetMode="External"/><Relationship Id="rId_hyperlink_3029" Type="http://schemas.openxmlformats.org/officeDocument/2006/relationships/hyperlink" Target="https://www.diodes.com/part/view/DMT68M8LPS" TargetMode="External"/><Relationship Id="rId_hyperlink_3030" Type="http://schemas.openxmlformats.org/officeDocument/2006/relationships/hyperlink" Target="https://www.diodes.com/assets/Datasheets/DMT68M8LPS.pdf" TargetMode="External"/><Relationship Id="rId_hyperlink_3031" Type="http://schemas.openxmlformats.org/officeDocument/2006/relationships/hyperlink" Target="https://www.diodes.com/part/view/DMT68M8LSS" TargetMode="External"/><Relationship Id="rId_hyperlink_3032" Type="http://schemas.openxmlformats.org/officeDocument/2006/relationships/hyperlink" Target="https://www.diodes.com/assets/Datasheets/DMT68M8LSS.pdf" TargetMode="External"/><Relationship Id="rId_hyperlink_3033" Type="http://schemas.openxmlformats.org/officeDocument/2006/relationships/hyperlink" Target="https://www.diodes.com/part/view/DMT69M5LCG" TargetMode="External"/><Relationship Id="rId_hyperlink_3034" Type="http://schemas.openxmlformats.org/officeDocument/2006/relationships/hyperlink" Target="https://www.diodes.com/assets/Datasheets/DMT69M5LCG.pdf" TargetMode="External"/><Relationship Id="rId_hyperlink_3035" Type="http://schemas.openxmlformats.org/officeDocument/2006/relationships/hyperlink" Target="https://www.diodes.com/part/view/DMT69M5LFVW" TargetMode="External"/><Relationship Id="rId_hyperlink_3036" Type="http://schemas.openxmlformats.org/officeDocument/2006/relationships/hyperlink" Target="https://www.diodes.com/assets/Datasheets/DMT69M5LFVW.pdf" TargetMode="External"/><Relationship Id="rId_hyperlink_3037" Type="http://schemas.openxmlformats.org/officeDocument/2006/relationships/hyperlink" Target="https://www.diodes.com/part/view/DMT69M5LFVWQ" TargetMode="External"/><Relationship Id="rId_hyperlink_3038" Type="http://schemas.openxmlformats.org/officeDocument/2006/relationships/hyperlink" Target="https://www.diodes.com/assets/Datasheets/DMT69M5LFVWQ.pdf" TargetMode="External"/><Relationship Id="rId_hyperlink_3039" Type="http://schemas.openxmlformats.org/officeDocument/2006/relationships/hyperlink" Target="https://www.diodes.com/part/view/DMT69M5LH3" TargetMode="External"/><Relationship Id="rId_hyperlink_3040" Type="http://schemas.openxmlformats.org/officeDocument/2006/relationships/hyperlink" Target="https://www.diodes.com/assets/Datasheets/DMT69M5LH3.pdf" TargetMode="External"/><Relationship Id="rId_hyperlink_3041" Type="http://schemas.openxmlformats.org/officeDocument/2006/relationships/hyperlink" Target="https://www.diodes.com/part/view/DMT69M8LFV" TargetMode="External"/><Relationship Id="rId_hyperlink_3042" Type="http://schemas.openxmlformats.org/officeDocument/2006/relationships/hyperlink" Target="https://www.diodes.com/assets/Datasheets/DMT69M8LFV.pdf" TargetMode="External"/><Relationship Id="rId_hyperlink_3043" Type="http://schemas.openxmlformats.org/officeDocument/2006/relationships/hyperlink" Target="https://www.diodes.com/part/view/DMT69M9LPDW" TargetMode="External"/><Relationship Id="rId_hyperlink_3044" Type="http://schemas.openxmlformats.org/officeDocument/2006/relationships/hyperlink" Target="https://www.diodes.com/assets/Datasheets/DMT69M9LPDW.pdf" TargetMode="External"/><Relationship Id="rId_hyperlink_3045" Type="http://schemas.openxmlformats.org/officeDocument/2006/relationships/hyperlink" Target="https://www.diodes.com/part/view/DMT8007LPSW" TargetMode="External"/><Relationship Id="rId_hyperlink_3046" Type="http://schemas.openxmlformats.org/officeDocument/2006/relationships/hyperlink" Target="https://www.diodes.com/assets/Datasheets/DMT8007LPSW.pdf" TargetMode="External"/><Relationship Id="rId_hyperlink_3047" Type="http://schemas.openxmlformats.org/officeDocument/2006/relationships/hyperlink" Target="https://www.diodes.com/part/view/DMT8008LFG" TargetMode="External"/><Relationship Id="rId_hyperlink_3048" Type="http://schemas.openxmlformats.org/officeDocument/2006/relationships/hyperlink" Target="https://www.diodes.com/assets/Datasheets/DMT8008LFG.pdf" TargetMode="External"/><Relationship Id="rId_hyperlink_3049" Type="http://schemas.openxmlformats.org/officeDocument/2006/relationships/hyperlink" Target="https://www.diodes.com/part/view/DMT8008LK3" TargetMode="External"/><Relationship Id="rId_hyperlink_3050" Type="http://schemas.openxmlformats.org/officeDocument/2006/relationships/hyperlink" Target="https://www.diodes.com/assets/Datasheets/DMT8008LK3.pdf" TargetMode="External"/><Relationship Id="rId_hyperlink_3051" Type="http://schemas.openxmlformats.org/officeDocument/2006/relationships/hyperlink" Target="https://www.diodes.com/part/view/DMT8008LPS" TargetMode="External"/><Relationship Id="rId_hyperlink_3052" Type="http://schemas.openxmlformats.org/officeDocument/2006/relationships/hyperlink" Target="https://www.diodes.com/assets/Datasheets/DMT8008LPS.pdf" TargetMode="External"/><Relationship Id="rId_hyperlink_3053" Type="http://schemas.openxmlformats.org/officeDocument/2006/relationships/hyperlink" Target="https://www.diodes.com/part/view/DMT8008LSS" TargetMode="External"/><Relationship Id="rId_hyperlink_3054" Type="http://schemas.openxmlformats.org/officeDocument/2006/relationships/hyperlink" Target="https://www.diodes.com/assets/Datasheets/DMT8008LSS.pdf" TargetMode="External"/><Relationship Id="rId_hyperlink_3055" Type="http://schemas.openxmlformats.org/officeDocument/2006/relationships/hyperlink" Target="https://www.diodes.com/part/view/DMT8008SCT" TargetMode="External"/><Relationship Id="rId_hyperlink_3056" Type="http://schemas.openxmlformats.org/officeDocument/2006/relationships/hyperlink" Target="https://www.diodes.com/assets/Datasheets/DMT8008SCT.pdf" TargetMode="External"/><Relationship Id="rId_hyperlink_3057" Type="http://schemas.openxmlformats.org/officeDocument/2006/relationships/hyperlink" Target="https://www.diodes.com/part/view/DMT8008SK3" TargetMode="External"/><Relationship Id="rId_hyperlink_3058" Type="http://schemas.openxmlformats.org/officeDocument/2006/relationships/hyperlink" Target="https://www.diodes.com/assets/Datasheets/DMT8008SK3.pdf" TargetMode="External"/><Relationship Id="rId_hyperlink_3059" Type="http://schemas.openxmlformats.org/officeDocument/2006/relationships/hyperlink" Target="https://www.diodes.com/part/view/DMT8008SPS" TargetMode="External"/><Relationship Id="rId_hyperlink_3060" Type="http://schemas.openxmlformats.org/officeDocument/2006/relationships/hyperlink" Target="https://www.diodes.com/assets/Datasheets/DMT8008SPS.pdf" TargetMode="External"/><Relationship Id="rId_hyperlink_3061" Type="http://schemas.openxmlformats.org/officeDocument/2006/relationships/hyperlink" Target="https://www.diodes.com/part/view/DMT8012LFG" TargetMode="External"/><Relationship Id="rId_hyperlink_3062" Type="http://schemas.openxmlformats.org/officeDocument/2006/relationships/hyperlink" Target="https://www.diodes.com/assets/Datasheets/DMT8012LFG.pdf" TargetMode="External"/><Relationship Id="rId_hyperlink_3063" Type="http://schemas.openxmlformats.org/officeDocument/2006/relationships/hyperlink" Target="https://www.diodes.com/part/view/DMT8012LK3" TargetMode="External"/><Relationship Id="rId_hyperlink_3064" Type="http://schemas.openxmlformats.org/officeDocument/2006/relationships/hyperlink" Target="https://www.diodes.com/assets/Datasheets/DMT8012LK3.pdf" TargetMode="External"/><Relationship Id="rId_hyperlink_3065" Type="http://schemas.openxmlformats.org/officeDocument/2006/relationships/hyperlink" Target="https://www.diodes.com/part/view/DMT8012LPS" TargetMode="External"/><Relationship Id="rId_hyperlink_3066" Type="http://schemas.openxmlformats.org/officeDocument/2006/relationships/hyperlink" Target="https://www.diodes.com/assets/Datasheets/DMT8012LPS.pdf" TargetMode="External"/><Relationship Id="rId_hyperlink_3067" Type="http://schemas.openxmlformats.org/officeDocument/2006/relationships/hyperlink" Target="https://www.diodes.com/part/view/DMT8012LSS" TargetMode="External"/><Relationship Id="rId_hyperlink_3068" Type="http://schemas.openxmlformats.org/officeDocument/2006/relationships/hyperlink" Target="https://www.diodes.com/assets/Datasheets/DMT8012LSS.pdf" TargetMode="External"/><Relationship Id="rId_hyperlink_3069" Type="http://schemas.openxmlformats.org/officeDocument/2006/relationships/hyperlink" Target="https://www.diodes.com/part/view/DMT8030LFDF" TargetMode="External"/><Relationship Id="rId_hyperlink_3070" Type="http://schemas.openxmlformats.org/officeDocument/2006/relationships/hyperlink" Target="https://www.diodes.com/assets/Datasheets/DMT8030LFDF.pdf" TargetMode="External"/><Relationship Id="rId_hyperlink_3071" Type="http://schemas.openxmlformats.org/officeDocument/2006/relationships/hyperlink" Target="https://www.diodes.com/part/view/DMTH10H003SPSW" TargetMode="External"/><Relationship Id="rId_hyperlink_3072" Type="http://schemas.openxmlformats.org/officeDocument/2006/relationships/hyperlink" Target="https://www.diodes.com/assets/Datasheets/DMTH10H003SPSW.pdf" TargetMode="External"/><Relationship Id="rId_hyperlink_3073" Type="http://schemas.openxmlformats.org/officeDocument/2006/relationships/hyperlink" Target="https://www.diodes.com/part/view/DMTH10H005LCT" TargetMode="External"/><Relationship Id="rId_hyperlink_3074" Type="http://schemas.openxmlformats.org/officeDocument/2006/relationships/hyperlink" Target="https://www.diodes.com/assets/Datasheets/DMTH10H005LCT.pdf" TargetMode="External"/><Relationship Id="rId_hyperlink_3075" Type="http://schemas.openxmlformats.org/officeDocument/2006/relationships/hyperlink" Target="https://www.diodes.com/part/view/DMTH10H005SCT" TargetMode="External"/><Relationship Id="rId_hyperlink_3076" Type="http://schemas.openxmlformats.org/officeDocument/2006/relationships/hyperlink" Target="https://www.diodes.com/assets/Datasheets/DMTH10H005SCT.pdf" TargetMode="External"/><Relationship Id="rId_hyperlink_3077" Type="http://schemas.openxmlformats.org/officeDocument/2006/relationships/hyperlink" Target="https://www.diodes.com/part/view/DMTH10H009LFG" TargetMode="External"/><Relationship Id="rId_hyperlink_3078" Type="http://schemas.openxmlformats.org/officeDocument/2006/relationships/hyperlink" Target="https://www.diodes.com/assets/Datasheets/DMTH10H009LFG.pdf" TargetMode="External"/><Relationship Id="rId_hyperlink_3079" Type="http://schemas.openxmlformats.org/officeDocument/2006/relationships/hyperlink" Target="https://www.diodes.com/part/view/DMTH10H009LFGQ" TargetMode="External"/><Relationship Id="rId_hyperlink_3080" Type="http://schemas.openxmlformats.org/officeDocument/2006/relationships/hyperlink" Target="https://www.diodes.com/assets/Datasheets/DMTH10H009LFGQ.pdf" TargetMode="External"/><Relationship Id="rId_hyperlink_3081" Type="http://schemas.openxmlformats.org/officeDocument/2006/relationships/hyperlink" Target="https://www.diodes.com/part/view/DMTH10H009LPS" TargetMode="External"/><Relationship Id="rId_hyperlink_3082" Type="http://schemas.openxmlformats.org/officeDocument/2006/relationships/hyperlink" Target="https://www.diodes.com/assets/Datasheets/DMTH10H009LPS.pdf" TargetMode="External"/><Relationship Id="rId_hyperlink_3083" Type="http://schemas.openxmlformats.org/officeDocument/2006/relationships/hyperlink" Target="https://www.diodes.com/part/view/DMTH10H009LPSQ" TargetMode="External"/><Relationship Id="rId_hyperlink_3084" Type="http://schemas.openxmlformats.org/officeDocument/2006/relationships/hyperlink" Target="https://www.diodes.com/assets/Datasheets/DMTH10H009LPSQ.pdf" TargetMode="External"/><Relationship Id="rId_hyperlink_3085" Type="http://schemas.openxmlformats.org/officeDocument/2006/relationships/hyperlink" Target="https://www.diodes.com/part/view/DMTH10H009SPS" TargetMode="External"/><Relationship Id="rId_hyperlink_3086" Type="http://schemas.openxmlformats.org/officeDocument/2006/relationships/hyperlink" Target="https://www.diodes.com/assets/Datasheets/DMTH10H009SPS.pdf" TargetMode="External"/><Relationship Id="rId_hyperlink_3087" Type="http://schemas.openxmlformats.org/officeDocument/2006/relationships/hyperlink" Target="https://www.diodes.com/part/view/DMTH10H009SPSQ" TargetMode="External"/><Relationship Id="rId_hyperlink_3088" Type="http://schemas.openxmlformats.org/officeDocument/2006/relationships/hyperlink" Target="https://www.diodes.com/assets/Datasheets/DMTH10H009SPSQ.pdf" TargetMode="External"/><Relationship Id="rId_hyperlink_3089" Type="http://schemas.openxmlformats.org/officeDocument/2006/relationships/hyperlink" Target="https://www.diodes.com/part/view/DMTH10H010LCT" TargetMode="External"/><Relationship Id="rId_hyperlink_3090" Type="http://schemas.openxmlformats.org/officeDocument/2006/relationships/hyperlink" Target="https://www.diodes.com/assets/Datasheets/DMTH10H010LCT.pdf" TargetMode="External"/><Relationship Id="rId_hyperlink_3091" Type="http://schemas.openxmlformats.org/officeDocument/2006/relationships/hyperlink" Target="https://www.diodes.com/part/view/DMTH10H010LCTB" TargetMode="External"/><Relationship Id="rId_hyperlink_3092" Type="http://schemas.openxmlformats.org/officeDocument/2006/relationships/hyperlink" Target="https://www.diodes.com/assets/Datasheets/DMTH10H010LCTB.pdf" TargetMode="External"/><Relationship Id="rId_hyperlink_3093" Type="http://schemas.openxmlformats.org/officeDocument/2006/relationships/hyperlink" Target="https://www.diodes.com/part/view/DMTH10H010LPS" TargetMode="External"/><Relationship Id="rId_hyperlink_3094" Type="http://schemas.openxmlformats.org/officeDocument/2006/relationships/hyperlink" Target="https://www.diodes.com/assets/Datasheets/DMTH10H010LPS.pdf" TargetMode="External"/><Relationship Id="rId_hyperlink_3095" Type="http://schemas.openxmlformats.org/officeDocument/2006/relationships/hyperlink" Target="https://www.diodes.com/part/view/DMTH10H010SCT" TargetMode="External"/><Relationship Id="rId_hyperlink_3096" Type="http://schemas.openxmlformats.org/officeDocument/2006/relationships/hyperlink" Target="https://www.diodes.com/assets/Datasheets/DMTH10H010SCT.pdf" TargetMode="External"/><Relationship Id="rId_hyperlink_3097" Type="http://schemas.openxmlformats.org/officeDocument/2006/relationships/hyperlink" Target="https://www.diodes.com/part/view/DMTH10H010SPS" TargetMode="External"/><Relationship Id="rId_hyperlink_3098" Type="http://schemas.openxmlformats.org/officeDocument/2006/relationships/hyperlink" Target="https://www.diodes.com/assets/Datasheets/DMTH10H010SPS.pdf" TargetMode="External"/><Relationship Id="rId_hyperlink_3099" Type="http://schemas.openxmlformats.org/officeDocument/2006/relationships/hyperlink" Target="https://www.diodes.com/part/view/DMTH10H010SPSQ" TargetMode="External"/><Relationship Id="rId_hyperlink_3100" Type="http://schemas.openxmlformats.org/officeDocument/2006/relationships/hyperlink" Target="https://www.diodes.com/assets/Datasheets/DMTH10H010SPSQ.pdf" TargetMode="External"/><Relationship Id="rId_hyperlink_3101" Type="http://schemas.openxmlformats.org/officeDocument/2006/relationships/hyperlink" Target="https://www.diodes.com/part/view/DMTH10H010SPSWQ" TargetMode="External"/><Relationship Id="rId_hyperlink_3102" Type="http://schemas.openxmlformats.org/officeDocument/2006/relationships/hyperlink" Target="https://www.diodes.com/assets/Datasheets/DMTH10H010SPSWQ.pdf" TargetMode="External"/><Relationship Id="rId_hyperlink_3103" Type="http://schemas.openxmlformats.org/officeDocument/2006/relationships/hyperlink" Target="https://www.diodes.com/part/view/DMTH10H015LK3" TargetMode="External"/><Relationship Id="rId_hyperlink_3104" Type="http://schemas.openxmlformats.org/officeDocument/2006/relationships/hyperlink" Target="https://www.diodes.com/assets/Datasheets/DMTH10H015LK3.pdf" TargetMode="External"/><Relationship Id="rId_hyperlink_3105" Type="http://schemas.openxmlformats.org/officeDocument/2006/relationships/hyperlink" Target="https://www.diodes.com/part/view/DMTH10H015LPS" TargetMode="External"/><Relationship Id="rId_hyperlink_3106" Type="http://schemas.openxmlformats.org/officeDocument/2006/relationships/hyperlink" Target="https://www.diodes.com/assets/Datasheets/DMTH10H015LPS.pdf" TargetMode="External"/><Relationship Id="rId_hyperlink_3107" Type="http://schemas.openxmlformats.org/officeDocument/2006/relationships/hyperlink" Target="https://www.diodes.com/part/view/DMTH10H015LPSWQ" TargetMode="External"/><Relationship Id="rId_hyperlink_3108" Type="http://schemas.openxmlformats.org/officeDocument/2006/relationships/hyperlink" Target="https://www.diodes.com/assets/Datasheets/DMTH10H015LPSWQ.pdf" TargetMode="External"/><Relationship Id="rId_hyperlink_3109" Type="http://schemas.openxmlformats.org/officeDocument/2006/relationships/hyperlink" Target="https://www.diodes.com/part/view/DMTH10H015SK3" TargetMode="External"/><Relationship Id="rId_hyperlink_3110" Type="http://schemas.openxmlformats.org/officeDocument/2006/relationships/hyperlink" Target="https://www.diodes.com/assets/Datasheets/DMTH10H015SK3.pdf" TargetMode="External"/><Relationship Id="rId_hyperlink_3111" Type="http://schemas.openxmlformats.org/officeDocument/2006/relationships/hyperlink" Target="https://www.diodes.com/part/view/DMTH10H015SK3Q" TargetMode="External"/><Relationship Id="rId_hyperlink_3112" Type="http://schemas.openxmlformats.org/officeDocument/2006/relationships/hyperlink" Target="https://www.diodes.com/assets/Datasheets/DMTH10H015SK3Q.pdf" TargetMode="External"/><Relationship Id="rId_hyperlink_3113" Type="http://schemas.openxmlformats.org/officeDocument/2006/relationships/hyperlink" Target="https://www.diodes.com/part/view/DMTH10H015SPS" TargetMode="External"/><Relationship Id="rId_hyperlink_3114" Type="http://schemas.openxmlformats.org/officeDocument/2006/relationships/hyperlink" Target="https://www.diodes.com/assets/Datasheets/DMTH10H015SPS.pdf" TargetMode="External"/><Relationship Id="rId_hyperlink_3115" Type="http://schemas.openxmlformats.org/officeDocument/2006/relationships/hyperlink" Target="https://www.diodes.com/part/view/DMTH10H015SPSQ" TargetMode="External"/><Relationship Id="rId_hyperlink_3116" Type="http://schemas.openxmlformats.org/officeDocument/2006/relationships/hyperlink" Target="https://www.diodes.com/assets/Datasheets/DMTH10H015SPSQ.pdf" TargetMode="External"/><Relationship Id="rId_hyperlink_3117" Type="http://schemas.openxmlformats.org/officeDocument/2006/relationships/hyperlink" Target="https://www.diodes.com/part/view/DMTH10H015SPSWQ" TargetMode="External"/><Relationship Id="rId_hyperlink_3118" Type="http://schemas.openxmlformats.org/officeDocument/2006/relationships/hyperlink" Target="https://www.diodes.com/assets/Datasheets/DMTH10H015SPSWQ.pdf" TargetMode="External"/><Relationship Id="rId_hyperlink_3119" Type="http://schemas.openxmlformats.org/officeDocument/2006/relationships/hyperlink" Target="https://www.diodes.com/part/view/DMTH10H017LPD" TargetMode="External"/><Relationship Id="rId_hyperlink_3120" Type="http://schemas.openxmlformats.org/officeDocument/2006/relationships/hyperlink" Target="https://www.diodes.com/assets/Datasheets/DMTH10H017LPD.pdf" TargetMode="External"/><Relationship Id="rId_hyperlink_3121" Type="http://schemas.openxmlformats.org/officeDocument/2006/relationships/hyperlink" Target="https://www.diodes.com/part/view/DMTH10H017LPDQ" TargetMode="External"/><Relationship Id="rId_hyperlink_3122" Type="http://schemas.openxmlformats.org/officeDocument/2006/relationships/hyperlink" Target="https://www.diodes.com/assets/Datasheets/DMTH10H017LPDQ.pdf" TargetMode="External"/><Relationship Id="rId_hyperlink_3123" Type="http://schemas.openxmlformats.org/officeDocument/2006/relationships/hyperlink" Target="https://www.diodes.com/part/view/DMTH10H025LK3" TargetMode="External"/><Relationship Id="rId_hyperlink_3124" Type="http://schemas.openxmlformats.org/officeDocument/2006/relationships/hyperlink" Target="https://www.diodes.com/assets/Datasheets/DMTH10H025LK3.pdf" TargetMode="External"/><Relationship Id="rId_hyperlink_3125" Type="http://schemas.openxmlformats.org/officeDocument/2006/relationships/hyperlink" Target="https://www.diodes.com/part/view/DMTH10H025LK3Q" TargetMode="External"/><Relationship Id="rId_hyperlink_3126" Type="http://schemas.openxmlformats.org/officeDocument/2006/relationships/hyperlink" Target="https://www.diodes.com/assets/Datasheets/DMTH10H025LK3Q.pdf" TargetMode="External"/><Relationship Id="rId_hyperlink_3127" Type="http://schemas.openxmlformats.org/officeDocument/2006/relationships/hyperlink" Target="https://www.diodes.com/part/view/DMTH10H025LPDW" TargetMode="External"/><Relationship Id="rId_hyperlink_3128" Type="http://schemas.openxmlformats.org/officeDocument/2006/relationships/hyperlink" Target="https://www.diodes.com/assets/Datasheets/DMTH10H025LPDW.pdf" TargetMode="External"/><Relationship Id="rId_hyperlink_3129" Type="http://schemas.openxmlformats.org/officeDocument/2006/relationships/hyperlink" Target="https://www.diodes.com/part/view/DMTH10H025LPDWQ" TargetMode="External"/><Relationship Id="rId_hyperlink_3130" Type="http://schemas.openxmlformats.org/officeDocument/2006/relationships/hyperlink" Target="https://www.diodes.com/assets/Datasheets/DMTH10H025LPDWQ.pdf" TargetMode="External"/><Relationship Id="rId_hyperlink_3131" Type="http://schemas.openxmlformats.org/officeDocument/2006/relationships/hyperlink" Target="https://www.diodes.com/part/view/DMTH10H025LPS" TargetMode="External"/><Relationship Id="rId_hyperlink_3132" Type="http://schemas.openxmlformats.org/officeDocument/2006/relationships/hyperlink" Target="https://www.diodes.com/assets/Datasheets/DMTH10H025LPS.pdf" TargetMode="External"/><Relationship Id="rId_hyperlink_3133" Type="http://schemas.openxmlformats.org/officeDocument/2006/relationships/hyperlink" Target="https://www.diodes.com/part/view/DMTH10H025LPSQ" TargetMode="External"/><Relationship Id="rId_hyperlink_3134" Type="http://schemas.openxmlformats.org/officeDocument/2006/relationships/hyperlink" Target="https://www.diodes.com/assets/Datasheets/DMTH10H025LPSQ.pdf" TargetMode="External"/><Relationship Id="rId_hyperlink_3135" Type="http://schemas.openxmlformats.org/officeDocument/2006/relationships/hyperlink" Target="https://www.diodes.com/part/view/DMTH10H025LPSWQ" TargetMode="External"/><Relationship Id="rId_hyperlink_3136" Type="http://schemas.openxmlformats.org/officeDocument/2006/relationships/hyperlink" Target="https://www.diodes.com/assets/Datasheets/DMTH10H025LPSWQ.pdf" TargetMode="External"/><Relationship Id="rId_hyperlink_3137" Type="http://schemas.openxmlformats.org/officeDocument/2006/relationships/hyperlink" Target="https://www.diodes.com/part/view/DMTH10H025SK3" TargetMode="External"/><Relationship Id="rId_hyperlink_3138" Type="http://schemas.openxmlformats.org/officeDocument/2006/relationships/hyperlink" Target="https://www.diodes.com/assets/Datasheets/DMTH10H025SK3.pdf" TargetMode="External"/><Relationship Id="rId_hyperlink_3139" Type="http://schemas.openxmlformats.org/officeDocument/2006/relationships/hyperlink" Target="https://www.diodes.com/part/view/DMTH10H032LDVW" TargetMode="External"/><Relationship Id="rId_hyperlink_3140" Type="http://schemas.openxmlformats.org/officeDocument/2006/relationships/hyperlink" Target="https://www.diodes.com/assets/Datasheets/DMTH10H032LDVW.pdf" TargetMode="External"/><Relationship Id="rId_hyperlink_3141" Type="http://schemas.openxmlformats.org/officeDocument/2006/relationships/hyperlink" Target="https://www.diodes.com/part/view/DMTH10H032LDVWQ" TargetMode="External"/><Relationship Id="rId_hyperlink_3142" Type="http://schemas.openxmlformats.org/officeDocument/2006/relationships/hyperlink" Target="https://www.diodes.com/assets/Datasheets/DMTH10H032LDVWQ.pdf" TargetMode="External"/><Relationship Id="rId_hyperlink_3143" Type="http://schemas.openxmlformats.org/officeDocument/2006/relationships/hyperlink" Target="https://www.diodes.com/part/view/DMTH10H032LFVW" TargetMode="External"/><Relationship Id="rId_hyperlink_3144" Type="http://schemas.openxmlformats.org/officeDocument/2006/relationships/hyperlink" Target="https://www.diodes.com/assets/Datasheets/DMTH10H032LFVW.pdf" TargetMode="External"/><Relationship Id="rId_hyperlink_3145" Type="http://schemas.openxmlformats.org/officeDocument/2006/relationships/hyperlink" Target="https://www.diodes.com/part/view/DMTH10H032LFVWQ" TargetMode="External"/><Relationship Id="rId_hyperlink_3146" Type="http://schemas.openxmlformats.org/officeDocument/2006/relationships/hyperlink" Target="https://www.diodes.com/assets/Datasheets/DMTH10H032LFVWQ.pdf" TargetMode="External"/><Relationship Id="rId_hyperlink_3147" Type="http://schemas.openxmlformats.org/officeDocument/2006/relationships/hyperlink" Target="https://www.diodes.com/part/view/DMTH10H032LPDW" TargetMode="External"/><Relationship Id="rId_hyperlink_3148" Type="http://schemas.openxmlformats.org/officeDocument/2006/relationships/hyperlink" Target="https://www.diodes.com/assets/Datasheets/DMTH10H032LPDW.pdf" TargetMode="External"/><Relationship Id="rId_hyperlink_3149" Type="http://schemas.openxmlformats.org/officeDocument/2006/relationships/hyperlink" Target="https://www.diodes.com/part/view/DMTH10H032LPDWQ" TargetMode="External"/><Relationship Id="rId_hyperlink_3150" Type="http://schemas.openxmlformats.org/officeDocument/2006/relationships/hyperlink" Target="https://www.diodes.com/assets/Datasheets/DMTH10H032LPDWQ.pdf" TargetMode="External"/><Relationship Id="rId_hyperlink_3151" Type="http://schemas.openxmlformats.org/officeDocument/2006/relationships/hyperlink" Target="https://www.diodes.com/part/view/DMTH10H032LPSW" TargetMode="External"/><Relationship Id="rId_hyperlink_3152" Type="http://schemas.openxmlformats.org/officeDocument/2006/relationships/hyperlink" Target="https://www.diodes.com/assets/Datasheets/DMTH10H032LPSW.pdf" TargetMode="External"/><Relationship Id="rId_hyperlink_3153" Type="http://schemas.openxmlformats.org/officeDocument/2006/relationships/hyperlink" Target="https://www.diodes.com/part/view/DMTH10H032LPSWQ" TargetMode="External"/><Relationship Id="rId_hyperlink_3154" Type="http://schemas.openxmlformats.org/officeDocument/2006/relationships/hyperlink" Target="https://www.diodes.com/assets/Datasheets/DMTH10H032LPSWQ.pdf" TargetMode="External"/><Relationship Id="rId_hyperlink_3155" Type="http://schemas.openxmlformats.org/officeDocument/2006/relationships/hyperlink" Target="https://www.diodes.com/part/view/DMTH10H032SDVW" TargetMode="External"/><Relationship Id="rId_hyperlink_3156" Type="http://schemas.openxmlformats.org/officeDocument/2006/relationships/hyperlink" Target="https://www.diodes.com/assets/Datasheets/DMTH10H032SDVW.pdf" TargetMode="External"/><Relationship Id="rId_hyperlink_3157" Type="http://schemas.openxmlformats.org/officeDocument/2006/relationships/hyperlink" Target="https://www.diodes.com/part/view/DMTH10H032SDVWQ" TargetMode="External"/><Relationship Id="rId_hyperlink_3158" Type="http://schemas.openxmlformats.org/officeDocument/2006/relationships/hyperlink" Target="https://www.diodes.com/assets/Datasheets/DMTH10H032SDVWQ.pdf" TargetMode="External"/><Relationship Id="rId_hyperlink_3159" Type="http://schemas.openxmlformats.org/officeDocument/2006/relationships/hyperlink" Target="https://www.diodes.com/part/view/DMTH10H032SPSW" TargetMode="External"/><Relationship Id="rId_hyperlink_3160" Type="http://schemas.openxmlformats.org/officeDocument/2006/relationships/hyperlink" Target="https://www.diodes.com/assets/Datasheets/DMTH10H032SPSW.pdf" TargetMode="External"/><Relationship Id="rId_hyperlink_3161" Type="http://schemas.openxmlformats.org/officeDocument/2006/relationships/hyperlink" Target="https://www.diodes.com/part/view/DMTH10H032SPSWQ" TargetMode="External"/><Relationship Id="rId_hyperlink_3162" Type="http://schemas.openxmlformats.org/officeDocument/2006/relationships/hyperlink" Target="https://www.diodes.com/assets/Datasheets/DMTH10H032SPSWQ.pdf" TargetMode="External"/><Relationship Id="rId_hyperlink_3163" Type="http://schemas.openxmlformats.org/officeDocument/2006/relationships/hyperlink" Target="https://www.diodes.com/part/view/DMTH10H038SPDW" TargetMode="External"/><Relationship Id="rId_hyperlink_3164" Type="http://schemas.openxmlformats.org/officeDocument/2006/relationships/hyperlink" Target="https://www.diodes.com/assets/Datasheets/DMTH10H038SPDW.pdf" TargetMode="External"/><Relationship Id="rId_hyperlink_3165" Type="http://schemas.openxmlformats.org/officeDocument/2006/relationships/hyperlink" Target="https://www.diodes.com/part/view/DMTH10H038SPDWQ" TargetMode="External"/><Relationship Id="rId_hyperlink_3166" Type="http://schemas.openxmlformats.org/officeDocument/2006/relationships/hyperlink" Target="https://www.diodes.com/assets/Datasheets/DMTH10H038SPDWQ.pdf" TargetMode="External"/><Relationship Id="rId_hyperlink_3167" Type="http://schemas.openxmlformats.org/officeDocument/2006/relationships/hyperlink" Target="https://www.diodes.com/part/view/DMTH10H072LPS" TargetMode="External"/><Relationship Id="rId_hyperlink_3168" Type="http://schemas.openxmlformats.org/officeDocument/2006/relationships/hyperlink" Target="https://www.diodes.com/assets/Datasheets/DMTH10H072LPS.pdf" TargetMode="External"/><Relationship Id="rId_hyperlink_3169" Type="http://schemas.openxmlformats.org/officeDocument/2006/relationships/hyperlink" Target="https://www.diodes.com/part/view/DMTH10H1M7STLW" TargetMode="External"/><Relationship Id="rId_hyperlink_3170" Type="http://schemas.openxmlformats.org/officeDocument/2006/relationships/hyperlink" Target="https://www.diodes.com/assets/Datasheets/DMTH10H1M7STLW.pdf" TargetMode="External"/><Relationship Id="rId_hyperlink_3171" Type="http://schemas.openxmlformats.org/officeDocument/2006/relationships/hyperlink" Target="https://www.diodes.com/part/view/DMTH10H1M7STLWQ" TargetMode="External"/><Relationship Id="rId_hyperlink_3172" Type="http://schemas.openxmlformats.org/officeDocument/2006/relationships/hyperlink" Target="https://www.diodes.com/assets/Datasheets/DMTH10H1M7STLWQ.pdf" TargetMode="External"/><Relationship Id="rId_hyperlink_3173" Type="http://schemas.openxmlformats.org/officeDocument/2006/relationships/hyperlink" Target="https://www.diodes.com/part/view/DMTH10H2M2LPSW" TargetMode="External"/><Relationship Id="rId_hyperlink_3174" Type="http://schemas.openxmlformats.org/officeDocument/2006/relationships/hyperlink" Target="https://www.diodes.com/assets/Datasheets/DMTH10H2M2LPSW.pdf" TargetMode="External"/><Relationship Id="rId_hyperlink_3175" Type="http://schemas.openxmlformats.org/officeDocument/2006/relationships/hyperlink" Target="https://www.diodes.com/part/view/DMTH10H2M2LPSWQ" TargetMode="External"/><Relationship Id="rId_hyperlink_3176" Type="http://schemas.openxmlformats.org/officeDocument/2006/relationships/hyperlink" Target="https://www.diodes.com/assets/Datasheets/DMTH10H2M2LPSWQ.pdf" TargetMode="External"/><Relationship Id="rId_hyperlink_3177" Type="http://schemas.openxmlformats.org/officeDocument/2006/relationships/hyperlink" Target="https://www.diodes.com/part/view/DMTH10H2M5STLW" TargetMode="External"/><Relationship Id="rId_hyperlink_3178" Type="http://schemas.openxmlformats.org/officeDocument/2006/relationships/hyperlink" Target="https://www.diodes.com/assets/Datasheets/DMTH10H2M5STLW.pdf" TargetMode="External"/><Relationship Id="rId_hyperlink_3179" Type="http://schemas.openxmlformats.org/officeDocument/2006/relationships/hyperlink" Target="https://www.diodes.com/part/view/DMTH10H2M5STLWQ" TargetMode="External"/><Relationship Id="rId_hyperlink_3180" Type="http://schemas.openxmlformats.org/officeDocument/2006/relationships/hyperlink" Target="https://www.diodes.com/assets/Datasheets/DMTH10H2M5STLWQ.pdf" TargetMode="External"/><Relationship Id="rId_hyperlink_3181" Type="http://schemas.openxmlformats.org/officeDocument/2006/relationships/hyperlink" Target="https://www.diodes.com/part/view/DMTH10H4M5LPS" TargetMode="External"/><Relationship Id="rId_hyperlink_3182" Type="http://schemas.openxmlformats.org/officeDocument/2006/relationships/hyperlink" Target="https://www.diodes.com/assets/Datasheets/DMTH10H4M5LPS.pdf" TargetMode="External"/><Relationship Id="rId_hyperlink_3183" Type="http://schemas.openxmlformats.org/officeDocument/2006/relationships/hyperlink" Target="https://www.diodes.com/part/view/DMTH10H4M5LPSW" TargetMode="External"/><Relationship Id="rId_hyperlink_3184" Type="http://schemas.openxmlformats.org/officeDocument/2006/relationships/hyperlink" Target="https://www.diodes.com/assets/Datasheets/DMTH10H4M5LPSW.pdf" TargetMode="External"/><Relationship Id="rId_hyperlink_3185" Type="http://schemas.openxmlformats.org/officeDocument/2006/relationships/hyperlink" Target="https://www.diodes.com/part/view/DMTH10H4M5LPSWQ" TargetMode="External"/><Relationship Id="rId_hyperlink_3186" Type="http://schemas.openxmlformats.org/officeDocument/2006/relationships/hyperlink" Target="https://www.diodes.com/assets/Datasheets/DMTH10H4M5LPSWQ.pdf" TargetMode="External"/><Relationship Id="rId_hyperlink_3187" Type="http://schemas.openxmlformats.org/officeDocument/2006/relationships/hyperlink" Target="https://www.diodes.com/part/view/DMTH10H4M6SPS" TargetMode="External"/><Relationship Id="rId_hyperlink_3188" Type="http://schemas.openxmlformats.org/officeDocument/2006/relationships/hyperlink" Target="https://www.diodes.com/assets/Datasheets/DMTH10H4M6SPS.pdf" TargetMode="External"/><Relationship Id="rId_hyperlink_3189" Type="http://schemas.openxmlformats.org/officeDocument/2006/relationships/hyperlink" Target="https://www.diodes.com/part/view/DMTH10H4M6SPSW" TargetMode="External"/><Relationship Id="rId_hyperlink_3190" Type="http://schemas.openxmlformats.org/officeDocument/2006/relationships/hyperlink" Target="https://www.diodes.com/assets/Datasheets/DMTH10H4M6SPSW.pdf" TargetMode="External"/><Relationship Id="rId_hyperlink_3191" Type="http://schemas.openxmlformats.org/officeDocument/2006/relationships/hyperlink" Target="https://www.diodes.com/part/view/DMTH10H4M6SPSWQ" TargetMode="External"/><Relationship Id="rId_hyperlink_3192" Type="http://schemas.openxmlformats.org/officeDocument/2006/relationships/hyperlink" Target="https://www.diodes.com/assets/Datasheets/DMTH10H4M6SPSWQ.pdf" TargetMode="External"/><Relationship Id="rId_hyperlink_3193" Type="http://schemas.openxmlformats.org/officeDocument/2006/relationships/hyperlink" Target="https://www.diodes.com/part/view/DMTH12H007SK3" TargetMode="External"/><Relationship Id="rId_hyperlink_3194" Type="http://schemas.openxmlformats.org/officeDocument/2006/relationships/hyperlink" Target="https://www.diodes.com/assets/Datasheets/DMTH12H007SK3.pdf" TargetMode="External"/><Relationship Id="rId_hyperlink_3195" Type="http://schemas.openxmlformats.org/officeDocument/2006/relationships/hyperlink" Target="https://www.diodes.com/part/view/DMTH12H007SPS" TargetMode="External"/><Relationship Id="rId_hyperlink_3196" Type="http://schemas.openxmlformats.org/officeDocument/2006/relationships/hyperlink" Target="https://www.diodes.com/assets/Datasheets/DMTH12H007SPS.pdf" TargetMode="External"/><Relationship Id="rId_hyperlink_3197" Type="http://schemas.openxmlformats.org/officeDocument/2006/relationships/hyperlink" Target="https://www.diodes.com/part/view/DMTH12H007SPSW" TargetMode="External"/><Relationship Id="rId_hyperlink_3198" Type="http://schemas.openxmlformats.org/officeDocument/2006/relationships/hyperlink" Target="https://www.diodes.com/assets/Datasheets/DMTH12H007SPSW.pdf" TargetMode="External"/><Relationship Id="rId_hyperlink_3199" Type="http://schemas.openxmlformats.org/officeDocument/2006/relationships/hyperlink" Target="https://www.diodes.com/part/view/DMTH12H007SPSWQ" TargetMode="External"/><Relationship Id="rId_hyperlink_3200" Type="http://schemas.openxmlformats.org/officeDocument/2006/relationships/hyperlink" Target="https://www.diodes.com/assets/Datasheets/DMTH12H007SPSWQ.pdf" TargetMode="External"/><Relationship Id="rId_hyperlink_3201" Type="http://schemas.openxmlformats.org/officeDocument/2006/relationships/hyperlink" Target="https://www.diodes.com/part/view/DMTH15H017LPSW" TargetMode="External"/><Relationship Id="rId_hyperlink_3202" Type="http://schemas.openxmlformats.org/officeDocument/2006/relationships/hyperlink" Target="https://www.diodes.com/assets/Datasheets/DMTH15H017LPSW.pdf" TargetMode="External"/><Relationship Id="rId_hyperlink_3203" Type="http://schemas.openxmlformats.org/officeDocument/2006/relationships/hyperlink" Target="https://www.diodes.com/part/view/DMTH15H017LPSWQ" TargetMode="External"/><Relationship Id="rId_hyperlink_3204" Type="http://schemas.openxmlformats.org/officeDocument/2006/relationships/hyperlink" Target="https://www.diodes.com/assets/Datasheets/DMTH15H017LPSWQ.pdf" TargetMode="External"/><Relationship Id="rId_hyperlink_3205" Type="http://schemas.openxmlformats.org/officeDocument/2006/relationships/hyperlink" Target="https://www.diodes.com/part/view/DMTH15H017SPS" TargetMode="External"/><Relationship Id="rId_hyperlink_3206" Type="http://schemas.openxmlformats.org/officeDocument/2006/relationships/hyperlink" Target="https://www.diodes.com/assets/Datasheets/DMTH15H017SPS.pdf" TargetMode="External"/><Relationship Id="rId_hyperlink_3207" Type="http://schemas.openxmlformats.org/officeDocument/2006/relationships/hyperlink" Target="https://www.diodes.com/part/view/DMTH15H017SPSW" TargetMode="External"/><Relationship Id="rId_hyperlink_3208" Type="http://schemas.openxmlformats.org/officeDocument/2006/relationships/hyperlink" Target="https://www.diodes.com/assets/Datasheets/DMTH15H017SPSW.pdf" TargetMode="External"/><Relationship Id="rId_hyperlink_3209" Type="http://schemas.openxmlformats.org/officeDocument/2006/relationships/hyperlink" Target="https://www.diodes.com/part/view/DMTH15H017SPSWQ" TargetMode="External"/><Relationship Id="rId_hyperlink_3210" Type="http://schemas.openxmlformats.org/officeDocument/2006/relationships/hyperlink" Target="https://www.diodes.com/assets/Datasheets/DMTH15H017SPSWQ.pdf" TargetMode="External"/><Relationship Id="rId_hyperlink_3211" Type="http://schemas.openxmlformats.org/officeDocument/2006/relationships/hyperlink" Target="https://www.diodes.com/part/view/DMTH15H053SPSW" TargetMode="External"/><Relationship Id="rId_hyperlink_3212" Type="http://schemas.openxmlformats.org/officeDocument/2006/relationships/hyperlink" Target="https://www.diodes.com/assets/Datasheets/DMTH15H053SPSW.pdf" TargetMode="External"/><Relationship Id="rId_hyperlink_3213" Type="http://schemas.openxmlformats.org/officeDocument/2006/relationships/hyperlink" Target="https://www.diodes.com/part/view/DMTH15H053SPSWQ" TargetMode="External"/><Relationship Id="rId_hyperlink_3214" Type="http://schemas.openxmlformats.org/officeDocument/2006/relationships/hyperlink" Target="https://www.diodes.com/assets/Datasheets/DMTH15H053SPSWQ.pdf" TargetMode="External"/><Relationship Id="rId_hyperlink_3215" Type="http://schemas.openxmlformats.org/officeDocument/2006/relationships/hyperlink" Target="https://www.diodes.com/part/view/DMTH3002LK3" TargetMode="External"/><Relationship Id="rId_hyperlink_3216" Type="http://schemas.openxmlformats.org/officeDocument/2006/relationships/hyperlink" Target="https://www.diodes.com/assets/Datasheets/DMTH3002LK3.pdf" TargetMode="External"/><Relationship Id="rId_hyperlink_3217" Type="http://schemas.openxmlformats.org/officeDocument/2006/relationships/hyperlink" Target="https://www.diodes.com/part/view/DMTH3002LPS" TargetMode="External"/><Relationship Id="rId_hyperlink_3218" Type="http://schemas.openxmlformats.org/officeDocument/2006/relationships/hyperlink" Target="https://www.diodes.com/assets/Datasheets/DMTH3002LPS.pdf" TargetMode="External"/><Relationship Id="rId_hyperlink_3219" Type="http://schemas.openxmlformats.org/officeDocument/2006/relationships/hyperlink" Target="https://www.diodes.com/part/view/DMTH3004LFG" TargetMode="External"/><Relationship Id="rId_hyperlink_3220" Type="http://schemas.openxmlformats.org/officeDocument/2006/relationships/hyperlink" Target="https://www.diodes.com/assets/Datasheets/DMTH3004LFG.pdf" TargetMode="External"/><Relationship Id="rId_hyperlink_3221" Type="http://schemas.openxmlformats.org/officeDocument/2006/relationships/hyperlink" Target="https://www.diodes.com/part/view/DMTH3004LFGQ" TargetMode="External"/><Relationship Id="rId_hyperlink_3222" Type="http://schemas.openxmlformats.org/officeDocument/2006/relationships/hyperlink" Target="https://www.diodes.com/assets/Datasheets/DMTH3004LFGQ.pdf" TargetMode="External"/><Relationship Id="rId_hyperlink_3223" Type="http://schemas.openxmlformats.org/officeDocument/2006/relationships/hyperlink" Target="https://www.diodes.com/part/view/DMTH3004LK3" TargetMode="External"/><Relationship Id="rId_hyperlink_3224" Type="http://schemas.openxmlformats.org/officeDocument/2006/relationships/hyperlink" Target="https://www.diodes.com/assets/Datasheets/DMTH3004LK3.pdf" TargetMode="External"/><Relationship Id="rId_hyperlink_3225" Type="http://schemas.openxmlformats.org/officeDocument/2006/relationships/hyperlink" Target="https://www.diodes.com/part/view/DMTH3004LK3Q" TargetMode="External"/><Relationship Id="rId_hyperlink_3226" Type="http://schemas.openxmlformats.org/officeDocument/2006/relationships/hyperlink" Target="https://www.diodes.com/assets/Datasheets/DMTH3004LK3Q.pdf" TargetMode="External"/><Relationship Id="rId_hyperlink_3227" Type="http://schemas.openxmlformats.org/officeDocument/2006/relationships/hyperlink" Target="https://www.diodes.com/part/view/DMTH3004LPS" TargetMode="External"/><Relationship Id="rId_hyperlink_3228" Type="http://schemas.openxmlformats.org/officeDocument/2006/relationships/hyperlink" Target="https://www.diodes.com/assets/Datasheets/DMTH3004LPS.pdf" TargetMode="External"/><Relationship Id="rId_hyperlink_3229" Type="http://schemas.openxmlformats.org/officeDocument/2006/relationships/hyperlink" Target="https://www.diodes.com/part/view/DMTH3004LPSQ" TargetMode="External"/><Relationship Id="rId_hyperlink_3230" Type="http://schemas.openxmlformats.org/officeDocument/2006/relationships/hyperlink" Target="https://www.diodes.com/assets/Datasheets/DMTH3004LPSQ.pdf" TargetMode="External"/><Relationship Id="rId_hyperlink_3231" Type="http://schemas.openxmlformats.org/officeDocument/2006/relationships/hyperlink" Target="https://www.diodes.com/part/view/DMTH31M7LPSQ" TargetMode="External"/><Relationship Id="rId_hyperlink_3232" Type="http://schemas.openxmlformats.org/officeDocument/2006/relationships/hyperlink" Target="https://www.diodes.com/assets/Datasheets/DMTH31M7LPSQ.pdf" TargetMode="External"/><Relationship Id="rId_hyperlink_3233" Type="http://schemas.openxmlformats.org/officeDocument/2006/relationships/hyperlink" Target="https://www.diodes.com/part/view/DMTH32M5LPS" TargetMode="External"/><Relationship Id="rId_hyperlink_3234" Type="http://schemas.openxmlformats.org/officeDocument/2006/relationships/hyperlink" Target="https://www.diodes.com/assets/Datasheets/DMTH32M5LPS.pdf" TargetMode="External"/><Relationship Id="rId_hyperlink_3235" Type="http://schemas.openxmlformats.org/officeDocument/2006/relationships/hyperlink" Target="https://www.diodes.com/part/view/DMTH32M5LPSQ" TargetMode="External"/><Relationship Id="rId_hyperlink_3236" Type="http://schemas.openxmlformats.org/officeDocument/2006/relationships/hyperlink" Target="https://www.diodes.com/assets/Datasheets/DMTH32M5LPSQ.pdf" TargetMode="External"/><Relationship Id="rId_hyperlink_3237" Type="http://schemas.openxmlformats.org/officeDocument/2006/relationships/hyperlink" Target="https://www.diodes.com/part/view/DMTH4001STLW" TargetMode="External"/><Relationship Id="rId_hyperlink_3238" Type="http://schemas.openxmlformats.org/officeDocument/2006/relationships/hyperlink" Target="https://www.diodes.com/assets/Datasheets/DMTH4001STLW.pdf" TargetMode="External"/><Relationship Id="rId_hyperlink_3239" Type="http://schemas.openxmlformats.org/officeDocument/2006/relationships/hyperlink" Target="https://www.diodes.com/part/view/DMTH4001STLWQ" TargetMode="External"/><Relationship Id="rId_hyperlink_3240" Type="http://schemas.openxmlformats.org/officeDocument/2006/relationships/hyperlink" Target="https://www.diodes.com/assets/Datasheets/DMTH4001STLWQ.pdf" TargetMode="External"/><Relationship Id="rId_hyperlink_3241" Type="http://schemas.openxmlformats.org/officeDocument/2006/relationships/hyperlink" Target="https://www.diodes.com/part/view/DMTH4002SCTB" TargetMode="External"/><Relationship Id="rId_hyperlink_3242" Type="http://schemas.openxmlformats.org/officeDocument/2006/relationships/hyperlink" Target="https://www.diodes.com/assets/Datasheets/DMTH4002SCTB.pdf" TargetMode="External"/><Relationship Id="rId_hyperlink_3243" Type="http://schemas.openxmlformats.org/officeDocument/2006/relationships/hyperlink" Target="https://www.diodes.com/part/view/DMTH4002SCTBQ" TargetMode="External"/><Relationship Id="rId_hyperlink_3244" Type="http://schemas.openxmlformats.org/officeDocument/2006/relationships/hyperlink" Target="https://www.diodes.com/assets/Datasheets/DMTH4002SCTBQ.pdf" TargetMode="External"/><Relationship Id="rId_hyperlink_3245" Type="http://schemas.openxmlformats.org/officeDocument/2006/relationships/hyperlink" Target="https://www.diodes.com/part/view/DMTH4004LK3" TargetMode="External"/><Relationship Id="rId_hyperlink_3246" Type="http://schemas.openxmlformats.org/officeDocument/2006/relationships/hyperlink" Target="https://www.diodes.com/assets/Datasheets/DMTH4004LK3.pdf" TargetMode="External"/><Relationship Id="rId_hyperlink_3247" Type="http://schemas.openxmlformats.org/officeDocument/2006/relationships/hyperlink" Target="https://www.diodes.com/part/view/DMTH4004LK3Q" TargetMode="External"/><Relationship Id="rId_hyperlink_3248" Type="http://schemas.openxmlformats.org/officeDocument/2006/relationships/hyperlink" Target="https://www.diodes.com/assets/Datasheets/DMTH4004LK3Q.pdf" TargetMode="External"/><Relationship Id="rId_hyperlink_3249" Type="http://schemas.openxmlformats.org/officeDocument/2006/relationships/hyperlink" Target="https://www.diodes.com/part/view/DMTH4004LPS" TargetMode="External"/><Relationship Id="rId_hyperlink_3250" Type="http://schemas.openxmlformats.org/officeDocument/2006/relationships/hyperlink" Target="https://www.diodes.com/assets/Datasheets/DMTH4004LPS.pdf" TargetMode="External"/><Relationship Id="rId_hyperlink_3251" Type="http://schemas.openxmlformats.org/officeDocument/2006/relationships/hyperlink" Target="https://www.diodes.com/part/view/DMTH4004LPSQ" TargetMode="External"/><Relationship Id="rId_hyperlink_3252" Type="http://schemas.openxmlformats.org/officeDocument/2006/relationships/hyperlink" Target="https://www.diodes.com/assets/Datasheets/DMTH4004LPSQ.pdf" TargetMode="External"/><Relationship Id="rId_hyperlink_3253" Type="http://schemas.openxmlformats.org/officeDocument/2006/relationships/hyperlink" Target="https://www.diodes.com/part/view/DMTH4004LPSWQ" TargetMode="External"/><Relationship Id="rId_hyperlink_3254" Type="http://schemas.openxmlformats.org/officeDocument/2006/relationships/hyperlink" Target="https://www.diodes.com/assets/Datasheets/DMTH4004LPSWQ.pdf" TargetMode="External"/><Relationship Id="rId_hyperlink_3255" Type="http://schemas.openxmlformats.org/officeDocument/2006/relationships/hyperlink" Target="https://www.diodes.com/part/view/DMTH4004SCTB" TargetMode="External"/><Relationship Id="rId_hyperlink_3256" Type="http://schemas.openxmlformats.org/officeDocument/2006/relationships/hyperlink" Target="https://www.diodes.com/assets/Datasheets/DMTH4004SCTB.pdf" TargetMode="External"/><Relationship Id="rId_hyperlink_3257" Type="http://schemas.openxmlformats.org/officeDocument/2006/relationships/hyperlink" Target="https://www.diodes.com/part/view/DMTH4004SCTBQ" TargetMode="External"/><Relationship Id="rId_hyperlink_3258" Type="http://schemas.openxmlformats.org/officeDocument/2006/relationships/hyperlink" Target="https://www.diodes.com/assets/Datasheets/DMTH4004SCTBQ.pdf" TargetMode="External"/><Relationship Id="rId_hyperlink_3259" Type="http://schemas.openxmlformats.org/officeDocument/2006/relationships/hyperlink" Target="https://www.diodes.com/part/view/DMTH4004SK3" TargetMode="External"/><Relationship Id="rId_hyperlink_3260" Type="http://schemas.openxmlformats.org/officeDocument/2006/relationships/hyperlink" Target="https://www.diodes.com/assets/Datasheets/DMTH4004SK3.pdf" TargetMode="External"/><Relationship Id="rId_hyperlink_3261" Type="http://schemas.openxmlformats.org/officeDocument/2006/relationships/hyperlink" Target="https://www.diodes.com/part/view/DMTH4004SK3Q" TargetMode="External"/><Relationship Id="rId_hyperlink_3262" Type="http://schemas.openxmlformats.org/officeDocument/2006/relationships/hyperlink" Target="https://www.diodes.com/assets/Datasheets/DMTH4004SK3Q.pdf" TargetMode="External"/><Relationship Id="rId_hyperlink_3263" Type="http://schemas.openxmlformats.org/officeDocument/2006/relationships/hyperlink" Target="https://www.diodes.com/part/view/DMTH4004SPS" TargetMode="External"/><Relationship Id="rId_hyperlink_3264" Type="http://schemas.openxmlformats.org/officeDocument/2006/relationships/hyperlink" Target="https://www.diodes.com/assets/Datasheets/DMTH4004SPS.pdf" TargetMode="External"/><Relationship Id="rId_hyperlink_3265" Type="http://schemas.openxmlformats.org/officeDocument/2006/relationships/hyperlink" Target="https://www.diodes.com/part/view/DMTH4004SPSQ" TargetMode="External"/><Relationship Id="rId_hyperlink_3266" Type="http://schemas.openxmlformats.org/officeDocument/2006/relationships/hyperlink" Target="https://www.diodes.com/assets/Datasheets/DMTH4004SPSQ.pdf" TargetMode="External"/><Relationship Id="rId_hyperlink_3267" Type="http://schemas.openxmlformats.org/officeDocument/2006/relationships/hyperlink" Target="https://www.diodes.com/part/view/DMTH4004SPSWQ" TargetMode="External"/><Relationship Id="rId_hyperlink_3268" Type="http://schemas.openxmlformats.org/officeDocument/2006/relationships/hyperlink" Target="https://www.diodes.com/assets/Datasheets/DMTH4004SPSWQ.pdf" TargetMode="External"/><Relationship Id="rId_hyperlink_3269" Type="http://schemas.openxmlformats.org/officeDocument/2006/relationships/hyperlink" Target="https://www.diodes.com/part/view/DMTH4005SCT" TargetMode="External"/><Relationship Id="rId_hyperlink_3270" Type="http://schemas.openxmlformats.org/officeDocument/2006/relationships/hyperlink" Target="https://www.diodes.com/assets/Datasheets/DMTH4005SCT.pdf" TargetMode="External"/><Relationship Id="rId_hyperlink_3271" Type="http://schemas.openxmlformats.org/officeDocument/2006/relationships/hyperlink" Target="https://www.diodes.com/part/view/DMTH4005SK3" TargetMode="External"/><Relationship Id="rId_hyperlink_3272" Type="http://schemas.openxmlformats.org/officeDocument/2006/relationships/hyperlink" Target="https://www.diodes.com/assets/Datasheets/DMTH4005SK3.pdf" TargetMode="External"/><Relationship Id="rId_hyperlink_3273" Type="http://schemas.openxmlformats.org/officeDocument/2006/relationships/hyperlink" Target="https://www.diodes.com/part/view/DMTH4005SK3Q" TargetMode="External"/><Relationship Id="rId_hyperlink_3274" Type="http://schemas.openxmlformats.org/officeDocument/2006/relationships/hyperlink" Target="https://www.diodes.com/assets/Datasheets/DMTH4005SK3Q.pdf" TargetMode="External"/><Relationship Id="rId_hyperlink_3275" Type="http://schemas.openxmlformats.org/officeDocument/2006/relationships/hyperlink" Target="https://www.diodes.com/part/view/DMTH4005SPS" TargetMode="External"/><Relationship Id="rId_hyperlink_3276" Type="http://schemas.openxmlformats.org/officeDocument/2006/relationships/hyperlink" Target="https://www.diodes.com/assets/Datasheets/DMTH4005SPS.pdf" TargetMode="External"/><Relationship Id="rId_hyperlink_3277" Type="http://schemas.openxmlformats.org/officeDocument/2006/relationships/hyperlink" Target="https://www.diodes.com/part/view/DMTH4005SPSQ" TargetMode="External"/><Relationship Id="rId_hyperlink_3278" Type="http://schemas.openxmlformats.org/officeDocument/2006/relationships/hyperlink" Target="https://www.diodes.com/assets/Datasheets/DMTH4005SPSQ.pdf" TargetMode="External"/><Relationship Id="rId_hyperlink_3279" Type="http://schemas.openxmlformats.org/officeDocument/2006/relationships/hyperlink" Target="https://www.diodes.com/part/view/DMTH4005SPSWQ" TargetMode="External"/><Relationship Id="rId_hyperlink_3280" Type="http://schemas.openxmlformats.org/officeDocument/2006/relationships/hyperlink" Target="https://www.diodes.com/assets/Datasheets/DMTH4005SPSWQ.pdf" TargetMode="External"/><Relationship Id="rId_hyperlink_3281" Type="http://schemas.openxmlformats.org/officeDocument/2006/relationships/hyperlink" Target="https://www.diodes.com/part/view/DMTH4007LK3" TargetMode="External"/><Relationship Id="rId_hyperlink_3282" Type="http://schemas.openxmlformats.org/officeDocument/2006/relationships/hyperlink" Target="https://www.diodes.com/assets/Datasheets/DMTH4007LK3.pdf" TargetMode="External"/><Relationship Id="rId_hyperlink_3283" Type="http://schemas.openxmlformats.org/officeDocument/2006/relationships/hyperlink" Target="https://www.diodes.com/part/view/DMTH4007LK3Q" TargetMode="External"/><Relationship Id="rId_hyperlink_3284" Type="http://schemas.openxmlformats.org/officeDocument/2006/relationships/hyperlink" Target="https://www.diodes.com/assets/Datasheets/DMTH4007LK3Q.pdf" TargetMode="External"/><Relationship Id="rId_hyperlink_3285" Type="http://schemas.openxmlformats.org/officeDocument/2006/relationships/hyperlink" Target="https://www.diodes.com/part/view/DMTH4007LPS" TargetMode="External"/><Relationship Id="rId_hyperlink_3286" Type="http://schemas.openxmlformats.org/officeDocument/2006/relationships/hyperlink" Target="https://www.diodes.com/assets/Datasheets/DMTH4007LPS.pdf" TargetMode="External"/><Relationship Id="rId_hyperlink_3287" Type="http://schemas.openxmlformats.org/officeDocument/2006/relationships/hyperlink" Target="https://www.diodes.com/part/view/DMTH4007LPSQ" TargetMode="External"/><Relationship Id="rId_hyperlink_3288" Type="http://schemas.openxmlformats.org/officeDocument/2006/relationships/hyperlink" Target="https://www.diodes.com/assets/Datasheets/DMTH4007LPSQ.pdf" TargetMode="External"/><Relationship Id="rId_hyperlink_3289" Type="http://schemas.openxmlformats.org/officeDocument/2006/relationships/hyperlink" Target="https://www.diodes.com/part/view/DMTH4007LPSWQ" TargetMode="External"/><Relationship Id="rId_hyperlink_3290" Type="http://schemas.openxmlformats.org/officeDocument/2006/relationships/hyperlink" Target="https://www.diodes.com/assets/Datasheets/DMTH4007LPSWQ.pdf" TargetMode="External"/><Relationship Id="rId_hyperlink_3291" Type="http://schemas.openxmlformats.org/officeDocument/2006/relationships/hyperlink" Target="https://www.diodes.com/part/view/DMTH4007SK3" TargetMode="External"/><Relationship Id="rId_hyperlink_3292" Type="http://schemas.openxmlformats.org/officeDocument/2006/relationships/hyperlink" Target="https://www.diodes.com/assets/Datasheets/DMTH4007SK3.pdf" TargetMode="External"/><Relationship Id="rId_hyperlink_3293" Type="http://schemas.openxmlformats.org/officeDocument/2006/relationships/hyperlink" Target="https://www.diodes.com/part/view/DMTH4007SPD" TargetMode="External"/><Relationship Id="rId_hyperlink_3294" Type="http://schemas.openxmlformats.org/officeDocument/2006/relationships/hyperlink" Target="https://www.diodes.com/assets/Datasheets/DMTH4007SPD.pdf" TargetMode="External"/><Relationship Id="rId_hyperlink_3295" Type="http://schemas.openxmlformats.org/officeDocument/2006/relationships/hyperlink" Target="https://www.diodes.com/part/view/DMTH4007SPDQ" TargetMode="External"/><Relationship Id="rId_hyperlink_3296" Type="http://schemas.openxmlformats.org/officeDocument/2006/relationships/hyperlink" Target="https://www.diodes.com/assets/Datasheets/DMTH4007SPDQ.pdf" TargetMode="External"/><Relationship Id="rId_hyperlink_3297" Type="http://schemas.openxmlformats.org/officeDocument/2006/relationships/hyperlink" Target="https://www.diodes.com/part/view/DMTH4007SPDWQ" TargetMode="External"/><Relationship Id="rId_hyperlink_3298" Type="http://schemas.openxmlformats.org/officeDocument/2006/relationships/hyperlink" Target="https://www.diodes.com/assets/Datasheets/DMTH4007SPDWQ.pdf" TargetMode="External"/><Relationship Id="rId_hyperlink_3299" Type="http://schemas.openxmlformats.org/officeDocument/2006/relationships/hyperlink" Target="https://www.diodes.com/part/view/DMTH4007SPS" TargetMode="External"/><Relationship Id="rId_hyperlink_3300" Type="http://schemas.openxmlformats.org/officeDocument/2006/relationships/hyperlink" Target="https://www.diodes.com/assets/Datasheets/DMTH4007SPS.pdf" TargetMode="External"/><Relationship Id="rId_hyperlink_3301" Type="http://schemas.openxmlformats.org/officeDocument/2006/relationships/hyperlink" Target="https://www.diodes.com/part/view/DMTH4007SPSQ" TargetMode="External"/><Relationship Id="rId_hyperlink_3302" Type="http://schemas.openxmlformats.org/officeDocument/2006/relationships/hyperlink" Target="https://www.diodes.com/assets/Datasheets/DMTH4007SPSQ.pdf" TargetMode="External"/><Relationship Id="rId_hyperlink_3303" Type="http://schemas.openxmlformats.org/officeDocument/2006/relationships/hyperlink" Target="https://www.diodes.com/part/view/DMTH4007SPSWQ" TargetMode="External"/><Relationship Id="rId_hyperlink_3304" Type="http://schemas.openxmlformats.org/officeDocument/2006/relationships/hyperlink" Target="https://www.diodes.com/assets/Datasheets/DMTH4007SPSWQ.pdf" TargetMode="External"/><Relationship Id="rId_hyperlink_3305" Type="http://schemas.openxmlformats.org/officeDocument/2006/relationships/hyperlink" Target="https://www.diodes.com/part/view/DMTH4008LFDFW" TargetMode="External"/><Relationship Id="rId_hyperlink_3306" Type="http://schemas.openxmlformats.org/officeDocument/2006/relationships/hyperlink" Target="https://www.diodes.com/assets/Datasheets/DMTH4008LFDFW.pdf" TargetMode="External"/><Relationship Id="rId_hyperlink_3307" Type="http://schemas.openxmlformats.org/officeDocument/2006/relationships/hyperlink" Target="https://www.diodes.com/part/view/DMTH4008LFDFWQ" TargetMode="External"/><Relationship Id="rId_hyperlink_3308" Type="http://schemas.openxmlformats.org/officeDocument/2006/relationships/hyperlink" Target="https://www.diodes.com/assets/Datasheets/DMTH4008LFDFWQ.pdf" TargetMode="External"/><Relationship Id="rId_hyperlink_3309" Type="http://schemas.openxmlformats.org/officeDocument/2006/relationships/hyperlink" Target="https://www.diodes.com/part/view/DMTH4008LPDW" TargetMode="External"/><Relationship Id="rId_hyperlink_3310" Type="http://schemas.openxmlformats.org/officeDocument/2006/relationships/hyperlink" Target="https://www.diodes.com/assets/Datasheets/DMTH4008LPDW.pdf" TargetMode="External"/><Relationship Id="rId_hyperlink_3311" Type="http://schemas.openxmlformats.org/officeDocument/2006/relationships/hyperlink" Target="https://www.diodes.com/part/view/DMTH4008LPDWQ" TargetMode="External"/><Relationship Id="rId_hyperlink_3312" Type="http://schemas.openxmlformats.org/officeDocument/2006/relationships/hyperlink" Target="https://www.diodes.com/assets/Datasheets/DMTH4008LPDWQ.pdf" TargetMode="External"/><Relationship Id="rId_hyperlink_3313" Type="http://schemas.openxmlformats.org/officeDocument/2006/relationships/hyperlink" Target="https://www.diodes.com/part/view/DMTH4008LPS" TargetMode="External"/><Relationship Id="rId_hyperlink_3314" Type="http://schemas.openxmlformats.org/officeDocument/2006/relationships/hyperlink" Target="https://www.diodes.com/assets/Datasheets/DMTH4008LPS.pdf" TargetMode="External"/><Relationship Id="rId_hyperlink_3315" Type="http://schemas.openxmlformats.org/officeDocument/2006/relationships/hyperlink" Target="https://www.diodes.com/part/view/DMTH4008LPSQ" TargetMode="External"/><Relationship Id="rId_hyperlink_3316" Type="http://schemas.openxmlformats.org/officeDocument/2006/relationships/hyperlink" Target="https://www.diodes.com/assets/Datasheets/DMTH4008LPSQ.pdf" TargetMode="External"/><Relationship Id="rId_hyperlink_3317" Type="http://schemas.openxmlformats.org/officeDocument/2006/relationships/hyperlink" Target="https://www.diodes.com/part/view/DMTH4008LPSWQ" TargetMode="External"/><Relationship Id="rId_hyperlink_3318" Type="http://schemas.openxmlformats.org/officeDocument/2006/relationships/hyperlink" Target="https://www.diodes.com/assets/Datasheets/DMTH4008LPSWQ.pdf" TargetMode="External"/><Relationship Id="rId_hyperlink_3319" Type="http://schemas.openxmlformats.org/officeDocument/2006/relationships/hyperlink" Target="https://www.diodes.com/part/view/DMTH4011SPD" TargetMode="External"/><Relationship Id="rId_hyperlink_3320" Type="http://schemas.openxmlformats.org/officeDocument/2006/relationships/hyperlink" Target="https://www.diodes.com/assets/Datasheets/DMTH4011SPD.pdf" TargetMode="External"/><Relationship Id="rId_hyperlink_3321" Type="http://schemas.openxmlformats.org/officeDocument/2006/relationships/hyperlink" Target="https://www.diodes.com/part/view/DMTH4011SPDQ" TargetMode="External"/><Relationship Id="rId_hyperlink_3322" Type="http://schemas.openxmlformats.org/officeDocument/2006/relationships/hyperlink" Target="https://www.diodes.com/assets/Datasheets/DMTH4011SPDQ.pdf" TargetMode="External"/><Relationship Id="rId_hyperlink_3323" Type="http://schemas.openxmlformats.org/officeDocument/2006/relationships/hyperlink" Target="https://www.diodes.com/part/view/DMTH4011SPDWQ" TargetMode="External"/><Relationship Id="rId_hyperlink_3324" Type="http://schemas.openxmlformats.org/officeDocument/2006/relationships/hyperlink" Target="https://www.diodes.com/assets/Datasheets/DMTH4011SPDWQ.pdf" TargetMode="External"/><Relationship Id="rId_hyperlink_3325" Type="http://schemas.openxmlformats.org/officeDocument/2006/relationships/hyperlink" Target="https://www.diodes.com/part/view/DMTH4014LDVW" TargetMode="External"/><Relationship Id="rId_hyperlink_3326" Type="http://schemas.openxmlformats.org/officeDocument/2006/relationships/hyperlink" Target="https://www.diodes.com/assets/Datasheets/DMTH4014LDVW.pdf" TargetMode="External"/><Relationship Id="rId_hyperlink_3327" Type="http://schemas.openxmlformats.org/officeDocument/2006/relationships/hyperlink" Target="https://www.diodes.com/part/view/DMTH4014LDVWQ" TargetMode="External"/><Relationship Id="rId_hyperlink_3328" Type="http://schemas.openxmlformats.org/officeDocument/2006/relationships/hyperlink" Target="https://www.diodes.com/assets/Datasheets/DMTH4014LDVWQ.pdf" TargetMode="External"/><Relationship Id="rId_hyperlink_3329" Type="http://schemas.openxmlformats.org/officeDocument/2006/relationships/hyperlink" Target="https://www.diodes.com/part/view/DMTH4014LFVW" TargetMode="External"/><Relationship Id="rId_hyperlink_3330" Type="http://schemas.openxmlformats.org/officeDocument/2006/relationships/hyperlink" Target="https://www.diodes.com/assets/Datasheets/DMTH4014LFVW.pdf" TargetMode="External"/><Relationship Id="rId_hyperlink_3331" Type="http://schemas.openxmlformats.org/officeDocument/2006/relationships/hyperlink" Target="https://www.diodes.com/part/view/DMTH4014LFVWQ" TargetMode="External"/><Relationship Id="rId_hyperlink_3332" Type="http://schemas.openxmlformats.org/officeDocument/2006/relationships/hyperlink" Target="https://www.diodes.com/assets/Datasheets/DMTH4014LFVWQ.pdf" TargetMode="External"/><Relationship Id="rId_hyperlink_3333" Type="http://schemas.openxmlformats.org/officeDocument/2006/relationships/hyperlink" Target="https://www.diodes.com/part/view/DMTH4014LPD" TargetMode="External"/><Relationship Id="rId_hyperlink_3334" Type="http://schemas.openxmlformats.org/officeDocument/2006/relationships/hyperlink" Target="https://www.diodes.com/assets/Datasheets/DMTH4014LPD.pdf" TargetMode="External"/><Relationship Id="rId_hyperlink_3335" Type="http://schemas.openxmlformats.org/officeDocument/2006/relationships/hyperlink" Target="https://www.diodes.com/part/view/DMTH4014LPDQ" TargetMode="External"/><Relationship Id="rId_hyperlink_3336" Type="http://schemas.openxmlformats.org/officeDocument/2006/relationships/hyperlink" Target="https://www.diodes.com/assets/Datasheets/DMTH4014LPDQ.pdf" TargetMode="External"/><Relationship Id="rId_hyperlink_3337" Type="http://schemas.openxmlformats.org/officeDocument/2006/relationships/hyperlink" Target="https://www.diodes.com/part/view/DMTH4014LPDWQ" TargetMode="External"/><Relationship Id="rId_hyperlink_3338" Type="http://schemas.openxmlformats.org/officeDocument/2006/relationships/hyperlink" Target="https://www.diodes.com/assets/Datasheets/DMTH4014LPDWQ.pdf" TargetMode="External"/><Relationship Id="rId_hyperlink_3339" Type="http://schemas.openxmlformats.org/officeDocument/2006/relationships/hyperlink" Target="https://www.diodes.com/part/view/DMTH4014LPSW" TargetMode="External"/><Relationship Id="rId_hyperlink_3340" Type="http://schemas.openxmlformats.org/officeDocument/2006/relationships/hyperlink" Target="https://www.diodes.com/assets/Datasheets/DMTH4014LPSW.pdf" TargetMode="External"/><Relationship Id="rId_hyperlink_3341" Type="http://schemas.openxmlformats.org/officeDocument/2006/relationships/hyperlink" Target="https://www.diodes.com/part/view/DMTH4014LPSWQ" TargetMode="External"/><Relationship Id="rId_hyperlink_3342" Type="http://schemas.openxmlformats.org/officeDocument/2006/relationships/hyperlink" Target="https://www.diodes.com/assets/Datasheets/DMTH4014LPSWQ.pdf" TargetMode="External"/><Relationship Id="rId_hyperlink_3343" Type="http://schemas.openxmlformats.org/officeDocument/2006/relationships/hyperlink" Target="https://www.diodes.com/part/view/DMTH4014SPSW" TargetMode="External"/><Relationship Id="rId_hyperlink_3344" Type="http://schemas.openxmlformats.org/officeDocument/2006/relationships/hyperlink" Target="https://www.diodes.com/assets/Datasheets/DMTH4014SPSW.pdf" TargetMode="External"/><Relationship Id="rId_hyperlink_3345" Type="http://schemas.openxmlformats.org/officeDocument/2006/relationships/hyperlink" Target="https://www.diodes.com/part/view/DMTH4014SPSWQ" TargetMode="External"/><Relationship Id="rId_hyperlink_3346" Type="http://schemas.openxmlformats.org/officeDocument/2006/relationships/hyperlink" Target="https://www.diodes.com/assets/Datasheets/DMTH4014SPSWQ.pdf" TargetMode="External"/><Relationship Id="rId_hyperlink_3347" Type="http://schemas.openxmlformats.org/officeDocument/2006/relationships/hyperlink" Target="https://www.diodes.com/part/view/DMTH41M2SPS" TargetMode="External"/><Relationship Id="rId_hyperlink_3348" Type="http://schemas.openxmlformats.org/officeDocument/2006/relationships/hyperlink" Target="https://www.diodes.com/assets/Datasheets/DMTH41M2SPS.pdf" TargetMode="External"/><Relationship Id="rId_hyperlink_3349" Type="http://schemas.openxmlformats.org/officeDocument/2006/relationships/hyperlink" Target="https://www.diodes.com/part/view/DMTH41M2SPSQ" TargetMode="External"/><Relationship Id="rId_hyperlink_3350" Type="http://schemas.openxmlformats.org/officeDocument/2006/relationships/hyperlink" Target="https://www.diodes.com/assets/Datasheets/DMTH41M2SPSQ.pdf" TargetMode="External"/><Relationship Id="rId_hyperlink_3351" Type="http://schemas.openxmlformats.org/officeDocument/2006/relationships/hyperlink" Target="https://www.diodes.com/part/view/DMTH41M8SPS" TargetMode="External"/><Relationship Id="rId_hyperlink_3352" Type="http://schemas.openxmlformats.org/officeDocument/2006/relationships/hyperlink" Target="https://www.diodes.com/assets/Datasheets/DMTH41M8SPS.pdf" TargetMode="External"/><Relationship Id="rId_hyperlink_3353" Type="http://schemas.openxmlformats.org/officeDocument/2006/relationships/hyperlink" Target="https://www.diodes.com/part/view/DMTH41M8SPSQ" TargetMode="External"/><Relationship Id="rId_hyperlink_3354" Type="http://schemas.openxmlformats.org/officeDocument/2006/relationships/hyperlink" Target="https://www.diodes.com/assets/Datasheets/DMTH41M8SPSQ.pdf" TargetMode="External"/><Relationship Id="rId_hyperlink_3355" Type="http://schemas.openxmlformats.org/officeDocument/2006/relationships/hyperlink" Target="https://www.diodes.com/part/view/DMTH42M4SPS" TargetMode="External"/><Relationship Id="rId_hyperlink_3356" Type="http://schemas.openxmlformats.org/officeDocument/2006/relationships/hyperlink" Target="https://www.diodes.com/assets/Datasheets/DMTH42M4SPS.pdf" TargetMode="External"/><Relationship Id="rId_hyperlink_3357" Type="http://schemas.openxmlformats.org/officeDocument/2006/relationships/hyperlink" Target="https://www.diodes.com/part/view/DMTH42M4SPSQ" TargetMode="External"/><Relationship Id="rId_hyperlink_3358" Type="http://schemas.openxmlformats.org/officeDocument/2006/relationships/hyperlink" Target="https://www.diodes.com/assets/Datasheets/DMTH42M4SPSQ.pdf" TargetMode="External"/><Relationship Id="rId_hyperlink_3359" Type="http://schemas.openxmlformats.org/officeDocument/2006/relationships/hyperlink" Target="https://www.diodes.com/part/view/DMTH43M7LFG" TargetMode="External"/><Relationship Id="rId_hyperlink_3360" Type="http://schemas.openxmlformats.org/officeDocument/2006/relationships/hyperlink" Target="https://www.diodes.com/assets/Datasheets/DMTH43M7LFG.pdf" TargetMode="External"/><Relationship Id="rId_hyperlink_3361" Type="http://schemas.openxmlformats.org/officeDocument/2006/relationships/hyperlink" Target="https://www.diodes.com/part/view/DMTH43M7LFGQ" TargetMode="External"/><Relationship Id="rId_hyperlink_3362" Type="http://schemas.openxmlformats.org/officeDocument/2006/relationships/hyperlink" Target="https://www.diodes.com/assets/Datasheets/DMTH43M7LFGQ.pdf" TargetMode="External"/><Relationship Id="rId_hyperlink_3363" Type="http://schemas.openxmlformats.org/officeDocument/2006/relationships/hyperlink" Target="https://www.diodes.com/part/view/DMTH43M8LFG" TargetMode="External"/><Relationship Id="rId_hyperlink_3364" Type="http://schemas.openxmlformats.org/officeDocument/2006/relationships/hyperlink" Target="https://www.diodes.com/assets/Datasheets/DMTH43M8LFG.pdf" TargetMode="External"/><Relationship Id="rId_hyperlink_3365" Type="http://schemas.openxmlformats.org/officeDocument/2006/relationships/hyperlink" Target="https://www.diodes.com/part/view/DMTH43M8LFGQ" TargetMode="External"/><Relationship Id="rId_hyperlink_3366" Type="http://schemas.openxmlformats.org/officeDocument/2006/relationships/hyperlink" Target="https://www.diodes.com/assets/Datasheets/DMTH43M8LFGQ.pdf" TargetMode="External"/><Relationship Id="rId_hyperlink_3367" Type="http://schemas.openxmlformats.org/officeDocument/2006/relationships/hyperlink" Target="https://www.diodes.com/part/view/DMTH43M8LFVW" TargetMode="External"/><Relationship Id="rId_hyperlink_3368" Type="http://schemas.openxmlformats.org/officeDocument/2006/relationships/hyperlink" Target="https://www.diodes.com/assets/Datasheets/DMTH43M8LFVW.pdf" TargetMode="External"/><Relationship Id="rId_hyperlink_3369" Type="http://schemas.openxmlformats.org/officeDocument/2006/relationships/hyperlink" Target="https://www.diodes.com/part/view/DMTH43M8LFVWQ" TargetMode="External"/><Relationship Id="rId_hyperlink_3370" Type="http://schemas.openxmlformats.org/officeDocument/2006/relationships/hyperlink" Target="https://www.diodes.com/assets/Datasheets/DMTH43M8LFVWQ.pdf" TargetMode="External"/><Relationship Id="rId_hyperlink_3371" Type="http://schemas.openxmlformats.org/officeDocument/2006/relationships/hyperlink" Target="https://www.diodes.com/part/view/DMTH43M8LK3" TargetMode="External"/><Relationship Id="rId_hyperlink_3372" Type="http://schemas.openxmlformats.org/officeDocument/2006/relationships/hyperlink" Target="https://www.diodes.com/assets/Datasheets/DMTH43M8LK3.pdf" TargetMode="External"/><Relationship Id="rId_hyperlink_3373" Type="http://schemas.openxmlformats.org/officeDocument/2006/relationships/hyperlink" Target="https://www.diodes.com/part/view/DMTH43M8LK3Q" TargetMode="External"/><Relationship Id="rId_hyperlink_3374" Type="http://schemas.openxmlformats.org/officeDocument/2006/relationships/hyperlink" Target="https://www.diodes.com/assets/Datasheets/DMTH43M8LK3Q.pdf" TargetMode="External"/><Relationship Id="rId_hyperlink_3375" Type="http://schemas.openxmlformats.org/officeDocument/2006/relationships/hyperlink" Target="https://www.diodes.com/part/view/DMTH43M8LPS" TargetMode="External"/><Relationship Id="rId_hyperlink_3376" Type="http://schemas.openxmlformats.org/officeDocument/2006/relationships/hyperlink" Target="https://www.diodes.com/assets/Datasheets/DMTH43M8LPS.pdf" TargetMode="External"/><Relationship Id="rId_hyperlink_3377" Type="http://schemas.openxmlformats.org/officeDocument/2006/relationships/hyperlink" Target="https://www.diodes.com/part/view/DMTH43M8LPSQ" TargetMode="External"/><Relationship Id="rId_hyperlink_3378" Type="http://schemas.openxmlformats.org/officeDocument/2006/relationships/hyperlink" Target="https://www.diodes.com/assets/Datasheets/DMTH43M8LPSQ.pdf" TargetMode="External"/><Relationship Id="rId_hyperlink_3379" Type="http://schemas.openxmlformats.org/officeDocument/2006/relationships/hyperlink" Target="https://www.diodes.com/part/view/DMTH43M8LPSWQ" TargetMode="External"/><Relationship Id="rId_hyperlink_3380" Type="http://schemas.openxmlformats.org/officeDocument/2006/relationships/hyperlink" Target="https://www.diodes.com/assets/Datasheets/DMTH43M8LPSWQ.pdf" TargetMode="External"/><Relationship Id="rId_hyperlink_3381" Type="http://schemas.openxmlformats.org/officeDocument/2006/relationships/hyperlink" Target="https://www.diodes.com/part/view/DMTH45M5LFVW" TargetMode="External"/><Relationship Id="rId_hyperlink_3382" Type="http://schemas.openxmlformats.org/officeDocument/2006/relationships/hyperlink" Target="https://www.diodes.com/assets/Datasheets/DMTH45M5LFVW.pdf" TargetMode="External"/><Relationship Id="rId_hyperlink_3383" Type="http://schemas.openxmlformats.org/officeDocument/2006/relationships/hyperlink" Target="https://www.diodes.com/part/view/DMTH45M5LFVWQ" TargetMode="External"/><Relationship Id="rId_hyperlink_3384" Type="http://schemas.openxmlformats.org/officeDocument/2006/relationships/hyperlink" Target="https://www.diodes.com/assets/Datasheets/DMTH45M5LFVWQ.pdf" TargetMode="External"/><Relationship Id="rId_hyperlink_3385" Type="http://schemas.openxmlformats.org/officeDocument/2006/relationships/hyperlink" Target="https://www.diodes.com/part/view/DMTH45M5LPDW" TargetMode="External"/><Relationship Id="rId_hyperlink_3386" Type="http://schemas.openxmlformats.org/officeDocument/2006/relationships/hyperlink" Target="https://www.diodes.com/assets/Datasheets/DMTH45M5LPDW.pdf" TargetMode="External"/><Relationship Id="rId_hyperlink_3387" Type="http://schemas.openxmlformats.org/officeDocument/2006/relationships/hyperlink" Target="https://www.diodes.com/part/view/DMTH45M5LPDWQ" TargetMode="External"/><Relationship Id="rId_hyperlink_3388" Type="http://schemas.openxmlformats.org/officeDocument/2006/relationships/hyperlink" Target="https://www.diodes.com/assets/Datasheets/DMTH45M5LPDWQ.pdf" TargetMode="External"/><Relationship Id="rId_hyperlink_3389" Type="http://schemas.openxmlformats.org/officeDocument/2006/relationships/hyperlink" Target="https://www.diodes.com/part/view/DMTH45M5LPSW" TargetMode="External"/><Relationship Id="rId_hyperlink_3390" Type="http://schemas.openxmlformats.org/officeDocument/2006/relationships/hyperlink" Target="https://www.diodes.com/assets/Datasheets/DMTH45M5LPSW.pdf" TargetMode="External"/><Relationship Id="rId_hyperlink_3391" Type="http://schemas.openxmlformats.org/officeDocument/2006/relationships/hyperlink" Target="https://www.diodes.com/part/view/DMTH45M5LPSWQ" TargetMode="External"/><Relationship Id="rId_hyperlink_3392" Type="http://schemas.openxmlformats.org/officeDocument/2006/relationships/hyperlink" Target="https://www.diodes.com/assets/Datasheets/DMTH45M5LPSWQ.pdf" TargetMode="External"/><Relationship Id="rId_hyperlink_3393" Type="http://schemas.openxmlformats.org/officeDocument/2006/relationships/hyperlink" Target="https://www.diodes.com/part/view/DMTH45M5SFVW" TargetMode="External"/><Relationship Id="rId_hyperlink_3394" Type="http://schemas.openxmlformats.org/officeDocument/2006/relationships/hyperlink" Target="https://www.diodes.com/assets/Datasheets/DMTH45M5SFVW.pdf" TargetMode="External"/><Relationship Id="rId_hyperlink_3395" Type="http://schemas.openxmlformats.org/officeDocument/2006/relationships/hyperlink" Target="https://www.diodes.com/part/view/DMTH45M5SFVWQ" TargetMode="External"/><Relationship Id="rId_hyperlink_3396" Type="http://schemas.openxmlformats.org/officeDocument/2006/relationships/hyperlink" Target="https://www.diodes.com/assets/Datasheets/DMTH45M5SFVWQ.pdf" TargetMode="External"/><Relationship Id="rId_hyperlink_3397" Type="http://schemas.openxmlformats.org/officeDocument/2006/relationships/hyperlink" Target="https://www.diodes.com/part/view/DMTH45M5SPDW" TargetMode="External"/><Relationship Id="rId_hyperlink_3398" Type="http://schemas.openxmlformats.org/officeDocument/2006/relationships/hyperlink" Target="https://www.diodes.com/assets/Datasheets/DMTH45M5SPDW.pdf" TargetMode="External"/><Relationship Id="rId_hyperlink_3399" Type="http://schemas.openxmlformats.org/officeDocument/2006/relationships/hyperlink" Target="https://www.diodes.com/part/view/DMTH45M5SPDWQ" TargetMode="External"/><Relationship Id="rId_hyperlink_3400" Type="http://schemas.openxmlformats.org/officeDocument/2006/relationships/hyperlink" Target="https://www.diodes.com/assets/Datasheets/DMTH45M5SPDWQ.pdf" TargetMode="External"/><Relationship Id="rId_hyperlink_3401" Type="http://schemas.openxmlformats.org/officeDocument/2006/relationships/hyperlink" Target="https://www.diodes.com/part/view/DMTH45M5SPSW" TargetMode="External"/><Relationship Id="rId_hyperlink_3402" Type="http://schemas.openxmlformats.org/officeDocument/2006/relationships/hyperlink" Target="https://www.diodes.com/assets/Datasheets/DMTH45M5SPSW.pdf" TargetMode="External"/><Relationship Id="rId_hyperlink_3403" Type="http://schemas.openxmlformats.org/officeDocument/2006/relationships/hyperlink" Target="https://www.diodes.com/part/view/DMTH45M5SPSWQ" TargetMode="External"/><Relationship Id="rId_hyperlink_3404" Type="http://schemas.openxmlformats.org/officeDocument/2006/relationships/hyperlink" Target="https://www.diodes.com/assets/Datasheets/DMTH45M5SPSWQ.pdf" TargetMode="External"/><Relationship Id="rId_hyperlink_3405" Type="http://schemas.openxmlformats.org/officeDocument/2006/relationships/hyperlink" Target="https://www.diodes.com/part/view/DMTH47M2LFVW" TargetMode="External"/><Relationship Id="rId_hyperlink_3406" Type="http://schemas.openxmlformats.org/officeDocument/2006/relationships/hyperlink" Target="https://www.diodes.com/assets/Datasheets/DMTH47M2LFVW.pdf" TargetMode="External"/><Relationship Id="rId_hyperlink_3407" Type="http://schemas.openxmlformats.org/officeDocument/2006/relationships/hyperlink" Target="https://www.diodes.com/part/view/DMTH47M2LFVWQ" TargetMode="External"/><Relationship Id="rId_hyperlink_3408" Type="http://schemas.openxmlformats.org/officeDocument/2006/relationships/hyperlink" Target="https://www.diodes.com/assets/Datasheets/DMTH47M2LFVWQ.pdf" TargetMode="External"/><Relationship Id="rId_hyperlink_3409" Type="http://schemas.openxmlformats.org/officeDocument/2006/relationships/hyperlink" Target="https://www.diodes.com/part/view/DMTH47M2LPSW" TargetMode="External"/><Relationship Id="rId_hyperlink_3410" Type="http://schemas.openxmlformats.org/officeDocument/2006/relationships/hyperlink" Target="https://www.diodes.com/assets/Datasheets/DMTH47M2LPSW.pdf" TargetMode="External"/><Relationship Id="rId_hyperlink_3411" Type="http://schemas.openxmlformats.org/officeDocument/2006/relationships/hyperlink" Target="https://www.diodes.com/part/view/DMTH47M2LPSWQ" TargetMode="External"/><Relationship Id="rId_hyperlink_3412" Type="http://schemas.openxmlformats.org/officeDocument/2006/relationships/hyperlink" Target="https://www.diodes.com/assets/Datasheets/DMTH47M2LPSWQ.pdf" TargetMode="External"/><Relationship Id="rId_hyperlink_3413" Type="http://schemas.openxmlformats.org/officeDocument/2006/relationships/hyperlink" Target="https://www.diodes.com/part/view/DMTH47M2SK3" TargetMode="External"/><Relationship Id="rId_hyperlink_3414" Type="http://schemas.openxmlformats.org/officeDocument/2006/relationships/hyperlink" Target="https://www.diodes.com/assets/Datasheets/DMTH47M2SK3.pdf" TargetMode="External"/><Relationship Id="rId_hyperlink_3415" Type="http://schemas.openxmlformats.org/officeDocument/2006/relationships/hyperlink" Target="https://www.diodes.com/part/view/DMTH47M2SPSW" TargetMode="External"/><Relationship Id="rId_hyperlink_3416" Type="http://schemas.openxmlformats.org/officeDocument/2006/relationships/hyperlink" Target="https://www.diodes.com/assets/Datasheets/DMTH47M2SPSW.pdf" TargetMode="External"/><Relationship Id="rId_hyperlink_3417" Type="http://schemas.openxmlformats.org/officeDocument/2006/relationships/hyperlink" Target="https://www.diodes.com/part/view/DMTH47M2SPSWQ" TargetMode="External"/><Relationship Id="rId_hyperlink_3418" Type="http://schemas.openxmlformats.org/officeDocument/2006/relationships/hyperlink" Target="https://www.diodes.com/assets/Datasheets/DMTH47M2SPSWQ.pdf" TargetMode="External"/><Relationship Id="rId_hyperlink_3419" Type="http://schemas.openxmlformats.org/officeDocument/2006/relationships/hyperlink" Target="https://www.diodes.com/part/view/DMTH48M3SFVW" TargetMode="External"/><Relationship Id="rId_hyperlink_3420" Type="http://schemas.openxmlformats.org/officeDocument/2006/relationships/hyperlink" Target="https://www.diodes.com/assets/Datasheets/DMTH48M3SFVW.pdf" TargetMode="External"/><Relationship Id="rId_hyperlink_3421" Type="http://schemas.openxmlformats.org/officeDocument/2006/relationships/hyperlink" Target="https://www.diodes.com/part/view/DMTH48M3SFVWQ" TargetMode="External"/><Relationship Id="rId_hyperlink_3422" Type="http://schemas.openxmlformats.org/officeDocument/2006/relationships/hyperlink" Target="https://www.diodes.com/assets/Datasheets/DMTH48M3SFVWQ.pdf" TargetMode="External"/><Relationship Id="rId_hyperlink_3423" Type="http://schemas.openxmlformats.org/officeDocument/2006/relationships/hyperlink" Target="https://www.diodes.com/part/view/DMTH4M70SPGW" TargetMode="External"/><Relationship Id="rId_hyperlink_3424" Type="http://schemas.openxmlformats.org/officeDocument/2006/relationships/hyperlink" Target="https://www.diodes.com/assets/Datasheets/DMTH4M70SPGW.pdf" TargetMode="External"/><Relationship Id="rId_hyperlink_3425" Type="http://schemas.openxmlformats.org/officeDocument/2006/relationships/hyperlink" Target="https://www.diodes.com/part/view/DMTH4M70SPGWQ" TargetMode="External"/><Relationship Id="rId_hyperlink_3426" Type="http://schemas.openxmlformats.org/officeDocument/2006/relationships/hyperlink" Target="https://www.diodes.com/assets/Datasheets/DMTH4M70SPGWQ.pdf" TargetMode="External"/><Relationship Id="rId_hyperlink_3427" Type="http://schemas.openxmlformats.org/officeDocument/2006/relationships/hyperlink" Target="https://www.diodes.com/part/view/DMTH4M90LPSW" TargetMode="External"/><Relationship Id="rId_hyperlink_3428" Type="http://schemas.openxmlformats.org/officeDocument/2006/relationships/hyperlink" Target="https://www.diodes.com/assets/Datasheets/DMTH4M90LPSW.pdf" TargetMode="External"/><Relationship Id="rId_hyperlink_3429" Type="http://schemas.openxmlformats.org/officeDocument/2006/relationships/hyperlink" Target="https://www.diodes.com/part/view/DMTH4M90LPSWQ" TargetMode="External"/><Relationship Id="rId_hyperlink_3430" Type="http://schemas.openxmlformats.org/officeDocument/2006/relationships/hyperlink" Target="https://www.diodes.com/assets/Datasheets/DMTH4M90LPSWQ.pdf" TargetMode="External"/><Relationship Id="rId_hyperlink_3431" Type="http://schemas.openxmlformats.org/officeDocument/2006/relationships/hyperlink" Target="https://www.diodes.com/part/view/DMTH4M90SPSW" TargetMode="External"/><Relationship Id="rId_hyperlink_3432" Type="http://schemas.openxmlformats.org/officeDocument/2006/relationships/hyperlink" Target="https://www.diodes.com/assets/Datasheets/DMTH4M90SPSW.pdf" TargetMode="External"/><Relationship Id="rId_hyperlink_3433" Type="http://schemas.openxmlformats.org/officeDocument/2006/relationships/hyperlink" Target="https://www.diodes.com/part/view/DMTH4M90SPSWQ" TargetMode="External"/><Relationship Id="rId_hyperlink_3434" Type="http://schemas.openxmlformats.org/officeDocument/2006/relationships/hyperlink" Target="https://www.diodes.com/assets/Datasheets/DMTH4M90SPSWQ.pdf" TargetMode="External"/><Relationship Id="rId_hyperlink_3435" Type="http://schemas.openxmlformats.org/officeDocument/2006/relationships/hyperlink" Target="https://www.diodes.com/part/view/DMTH6002LPS" TargetMode="External"/><Relationship Id="rId_hyperlink_3436" Type="http://schemas.openxmlformats.org/officeDocument/2006/relationships/hyperlink" Target="https://www.diodes.com/assets/Datasheets/DMTH6002LPS.pdf" TargetMode="External"/><Relationship Id="rId_hyperlink_3437" Type="http://schemas.openxmlformats.org/officeDocument/2006/relationships/hyperlink" Target="https://www.diodes.com/part/view/DMTH6002LPSW" TargetMode="External"/><Relationship Id="rId_hyperlink_3438" Type="http://schemas.openxmlformats.org/officeDocument/2006/relationships/hyperlink" Target="https://www.diodes.com/assets/Datasheets/DMTH6002LPSW.pdf" TargetMode="External"/><Relationship Id="rId_hyperlink_3439" Type="http://schemas.openxmlformats.org/officeDocument/2006/relationships/hyperlink" Target="https://www.diodes.com/part/view/DMTH6002LPSWQ" TargetMode="External"/><Relationship Id="rId_hyperlink_3440" Type="http://schemas.openxmlformats.org/officeDocument/2006/relationships/hyperlink" Target="https://www.diodes.com/assets/Datasheets/DMTH6002LPSWQ.pdf" TargetMode="External"/><Relationship Id="rId_hyperlink_3441" Type="http://schemas.openxmlformats.org/officeDocument/2006/relationships/hyperlink" Target="https://www.diodes.com/part/view/DMTH6004LPS" TargetMode="External"/><Relationship Id="rId_hyperlink_3442" Type="http://schemas.openxmlformats.org/officeDocument/2006/relationships/hyperlink" Target="https://www.diodes.com/assets/Datasheets/DMTH6004LPS.pdf" TargetMode="External"/><Relationship Id="rId_hyperlink_3443" Type="http://schemas.openxmlformats.org/officeDocument/2006/relationships/hyperlink" Target="https://www.diodes.com/part/view/DMTH6004LPSQ" TargetMode="External"/><Relationship Id="rId_hyperlink_3444" Type="http://schemas.openxmlformats.org/officeDocument/2006/relationships/hyperlink" Target="https://www.diodes.com/assets/Datasheets/DMTH6004LPSQ.pdf" TargetMode="External"/><Relationship Id="rId_hyperlink_3445" Type="http://schemas.openxmlformats.org/officeDocument/2006/relationships/hyperlink" Target="https://www.diodes.com/part/view/DMTH6004LPSWQ" TargetMode="External"/><Relationship Id="rId_hyperlink_3446" Type="http://schemas.openxmlformats.org/officeDocument/2006/relationships/hyperlink" Target="https://www.diodes.com/assets/Datasheets/DMTH6004LPSWQ.pdf" TargetMode="External"/><Relationship Id="rId_hyperlink_3447" Type="http://schemas.openxmlformats.org/officeDocument/2006/relationships/hyperlink" Target="https://www.diodes.com/part/view/DMTH6004SCT" TargetMode="External"/><Relationship Id="rId_hyperlink_3448" Type="http://schemas.openxmlformats.org/officeDocument/2006/relationships/hyperlink" Target="https://www.diodes.com/assets/Datasheets/DMTH6004SCT.pdf" TargetMode="External"/><Relationship Id="rId_hyperlink_3449" Type="http://schemas.openxmlformats.org/officeDocument/2006/relationships/hyperlink" Target="https://www.diodes.com/part/view/DMTH6004SCTB" TargetMode="External"/><Relationship Id="rId_hyperlink_3450" Type="http://schemas.openxmlformats.org/officeDocument/2006/relationships/hyperlink" Target="https://www.diodes.com/assets/Datasheets/DMTH6004SCTB.pdf" TargetMode="External"/><Relationship Id="rId_hyperlink_3451" Type="http://schemas.openxmlformats.org/officeDocument/2006/relationships/hyperlink" Target="https://www.diodes.com/part/view/DMTH6004SCTBQ" TargetMode="External"/><Relationship Id="rId_hyperlink_3452" Type="http://schemas.openxmlformats.org/officeDocument/2006/relationships/hyperlink" Target="https://www.diodes.com/assets/Datasheets/DMTH6004SCTBQ.pdf" TargetMode="External"/><Relationship Id="rId_hyperlink_3453" Type="http://schemas.openxmlformats.org/officeDocument/2006/relationships/hyperlink" Target="https://www.diodes.com/part/view/DMTH6004SK3" TargetMode="External"/><Relationship Id="rId_hyperlink_3454" Type="http://schemas.openxmlformats.org/officeDocument/2006/relationships/hyperlink" Target="https://www.diodes.com/assets/Datasheets/DMTH6004SK3.pdf" TargetMode="External"/><Relationship Id="rId_hyperlink_3455" Type="http://schemas.openxmlformats.org/officeDocument/2006/relationships/hyperlink" Target="https://www.diodes.com/part/view/DMTH6004SK3Q" TargetMode="External"/><Relationship Id="rId_hyperlink_3456" Type="http://schemas.openxmlformats.org/officeDocument/2006/relationships/hyperlink" Target="https://www.diodes.com/assets/Datasheets/DMTH6004SK3Q.pdf" TargetMode="External"/><Relationship Id="rId_hyperlink_3457" Type="http://schemas.openxmlformats.org/officeDocument/2006/relationships/hyperlink" Target="https://www.diodes.com/part/view/DMTH6004SPS" TargetMode="External"/><Relationship Id="rId_hyperlink_3458" Type="http://schemas.openxmlformats.org/officeDocument/2006/relationships/hyperlink" Target="https://www.diodes.com/assets/Datasheets/DMTH6004SPS.pdf" TargetMode="External"/><Relationship Id="rId_hyperlink_3459" Type="http://schemas.openxmlformats.org/officeDocument/2006/relationships/hyperlink" Target="https://www.diodes.com/part/view/DMTH6004SPSQ" TargetMode="External"/><Relationship Id="rId_hyperlink_3460" Type="http://schemas.openxmlformats.org/officeDocument/2006/relationships/hyperlink" Target="https://www.diodes.com/assets/Datasheets/DMTH6004SPSQ.pdf" TargetMode="External"/><Relationship Id="rId_hyperlink_3461" Type="http://schemas.openxmlformats.org/officeDocument/2006/relationships/hyperlink" Target="https://www.diodes.com/part/view/DMTH6004SPSWQ" TargetMode="External"/><Relationship Id="rId_hyperlink_3462" Type="http://schemas.openxmlformats.org/officeDocument/2006/relationships/hyperlink" Target="https://www.diodes.com/assets/Datasheets/DMTH6004SPSWQ.pdf" TargetMode="External"/><Relationship Id="rId_hyperlink_3463" Type="http://schemas.openxmlformats.org/officeDocument/2006/relationships/hyperlink" Target="https://www.diodes.com/part/view/DMTH6005LCT" TargetMode="External"/><Relationship Id="rId_hyperlink_3464" Type="http://schemas.openxmlformats.org/officeDocument/2006/relationships/hyperlink" Target="https://www.diodes.com/assets/Datasheets/DMTH6005LCT.pdf" TargetMode="External"/><Relationship Id="rId_hyperlink_3465" Type="http://schemas.openxmlformats.org/officeDocument/2006/relationships/hyperlink" Target="https://www.diodes.com/part/view/DMTH6005LFG" TargetMode="External"/><Relationship Id="rId_hyperlink_3466" Type="http://schemas.openxmlformats.org/officeDocument/2006/relationships/hyperlink" Target="https://www.diodes.com/assets/Datasheets/DMTH6005LFG.pdf" TargetMode="External"/><Relationship Id="rId_hyperlink_3467" Type="http://schemas.openxmlformats.org/officeDocument/2006/relationships/hyperlink" Target="https://www.diodes.com/part/view/DMTH6005LFGQ" TargetMode="External"/><Relationship Id="rId_hyperlink_3468" Type="http://schemas.openxmlformats.org/officeDocument/2006/relationships/hyperlink" Target="https://www.diodes.com/assets/Datasheets/DMTH6005LFGQ.pdf" TargetMode="External"/><Relationship Id="rId_hyperlink_3469" Type="http://schemas.openxmlformats.org/officeDocument/2006/relationships/hyperlink" Target="https://www.diodes.com/part/view/DMTH6005LK3" TargetMode="External"/><Relationship Id="rId_hyperlink_3470" Type="http://schemas.openxmlformats.org/officeDocument/2006/relationships/hyperlink" Target="https://www.diodes.com/assets/Datasheets/DMTH6005LK3.pdf" TargetMode="External"/><Relationship Id="rId_hyperlink_3471" Type="http://schemas.openxmlformats.org/officeDocument/2006/relationships/hyperlink" Target="https://www.diodes.com/part/view/DMTH6005LK3Q" TargetMode="External"/><Relationship Id="rId_hyperlink_3472" Type="http://schemas.openxmlformats.org/officeDocument/2006/relationships/hyperlink" Target="https://www.diodes.com/assets/Datasheets/DMTH6005LK3Q.pdf" TargetMode="External"/><Relationship Id="rId_hyperlink_3473" Type="http://schemas.openxmlformats.org/officeDocument/2006/relationships/hyperlink" Target="https://www.diodes.com/part/view/DMTH6005LPS" TargetMode="External"/><Relationship Id="rId_hyperlink_3474" Type="http://schemas.openxmlformats.org/officeDocument/2006/relationships/hyperlink" Target="https://www.diodes.com/assets/Datasheets/DMTH6005LPS.pdf" TargetMode="External"/><Relationship Id="rId_hyperlink_3475" Type="http://schemas.openxmlformats.org/officeDocument/2006/relationships/hyperlink" Target="https://www.diodes.com/part/view/DMTH6005LPSQ" TargetMode="External"/><Relationship Id="rId_hyperlink_3476" Type="http://schemas.openxmlformats.org/officeDocument/2006/relationships/hyperlink" Target="https://www.diodes.com/assets/Datasheets/DMTH6005LPSQ.pdf" TargetMode="External"/><Relationship Id="rId_hyperlink_3477" Type="http://schemas.openxmlformats.org/officeDocument/2006/relationships/hyperlink" Target="https://www.diodes.com/part/view/DMTH6005LPSWQ" TargetMode="External"/><Relationship Id="rId_hyperlink_3478" Type="http://schemas.openxmlformats.org/officeDocument/2006/relationships/hyperlink" Target="https://www.diodes.com/assets/Datasheets/DMTH6005LPSWQ.pdf" TargetMode="External"/><Relationship Id="rId_hyperlink_3479" Type="http://schemas.openxmlformats.org/officeDocument/2006/relationships/hyperlink" Target="https://www.diodes.com/part/view/DMTH6006LPSW" TargetMode="External"/><Relationship Id="rId_hyperlink_3480" Type="http://schemas.openxmlformats.org/officeDocument/2006/relationships/hyperlink" Target="https://www.diodes.com/assets/Datasheets/DMTH6006LPSW.pdf" TargetMode="External"/><Relationship Id="rId_hyperlink_3481" Type="http://schemas.openxmlformats.org/officeDocument/2006/relationships/hyperlink" Target="https://www.diodes.com/part/view/DMTH6006LPSWQ" TargetMode="External"/><Relationship Id="rId_hyperlink_3482" Type="http://schemas.openxmlformats.org/officeDocument/2006/relationships/hyperlink" Target="https://www.diodes.com/assets/Datasheets/DMTH6006LPSWQ.pdf" TargetMode="External"/><Relationship Id="rId_hyperlink_3483" Type="http://schemas.openxmlformats.org/officeDocument/2006/relationships/hyperlink" Target="https://www.diodes.com/part/view/DMTH6006SPS" TargetMode="External"/><Relationship Id="rId_hyperlink_3484" Type="http://schemas.openxmlformats.org/officeDocument/2006/relationships/hyperlink" Target="https://www.diodes.com/assets/Datasheets/DMTH6006SPS.pdf" TargetMode="External"/><Relationship Id="rId_hyperlink_3485" Type="http://schemas.openxmlformats.org/officeDocument/2006/relationships/hyperlink" Target="https://www.diodes.com/part/view/DMTH6009LK3" TargetMode="External"/><Relationship Id="rId_hyperlink_3486" Type="http://schemas.openxmlformats.org/officeDocument/2006/relationships/hyperlink" Target="https://www.diodes.com/assets/Datasheets/DMTH6009LK3.pdf" TargetMode="External"/><Relationship Id="rId_hyperlink_3487" Type="http://schemas.openxmlformats.org/officeDocument/2006/relationships/hyperlink" Target="https://www.diodes.com/part/view/DMTH6009LK3Q" TargetMode="External"/><Relationship Id="rId_hyperlink_3488" Type="http://schemas.openxmlformats.org/officeDocument/2006/relationships/hyperlink" Target="https://www.diodes.com/assets/Datasheets/DMTH6009LK3Q.pdf" TargetMode="External"/><Relationship Id="rId_hyperlink_3489" Type="http://schemas.openxmlformats.org/officeDocument/2006/relationships/hyperlink" Target="https://www.diodes.com/part/view/DMTH6009LPS" TargetMode="External"/><Relationship Id="rId_hyperlink_3490" Type="http://schemas.openxmlformats.org/officeDocument/2006/relationships/hyperlink" Target="https://www.diodes.com/assets/Datasheets/DMTH6009LPS.pdf" TargetMode="External"/><Relationship Id="rId_hyperlink_3491" Type="http://schemas.openxmlformats.org/officeDocument/2006/relationships/hyperlink" Target="https://www.diodes.com/part/view/DMTH6009LPSQ" TargetMode="External"/><Relationship Id="rId_hyperlink_3492" Type="http://schemas.openxmlformats.org/officeDocument/2006/relationships/hyperlink" Target="https://www.diodes.com/assets/Datasheets/DMTH6009LPSQ.pdf" TargetMode="External"/><Relationship Id="rId_hyperlink_3493" Type="http://schemas.openxmlformats.org/officeDocument/2006/relationships/hyperlink" Target="https://www.diodes.com/part/view/DMTH6009LPSWQ" TargetMode="External"/><Relationship Id="rId_hyperlink_3494" Type="http://schemas.openxmlformats.org/officeDocument/2006/relationships/hyperlink" Target="https://www.diodes.com/assets/Datasheets/DMTH6009LPSWQ.pdf" TargetMode="External"/><Relationship Id="rId_hyperlink_3495" Type="http://schemas.openxmlformats.org/officeDocument/2006/relationships/hyperlink" Target="https://www.diodes.com/part/view/DMTH6009SPS" TargetMode="External"/><Relationship Id="rId_hyperlink_3496" Type="http://schemas.openxmlformats.org/officeDocument/2006/relationships/hyperlink" Target="https://www.diodes.com/assets/Datasheets/DMTH6009SPS.pdf" TargetMode="External"/><Relationship Id="rId_hyperlink_3497" Type="http://schemas.openxmlformats.org/officeDocument/2006/relationships/hyperlink" Target="https://www.diodes.com/part/view/DMTH6010LK3" TargetMode="External"/><Relationship Id="rId_hyperlink_3498" Type="http://schemas.openxmlformats.org/officeDocument/2006/relationships/hyperlink" Target="https://www.diodes.com/assets/Datasheets/DMTH6010LK3.pdf" TargetMode="External"/><Relationship Id="rId_hyperlink_3499" Type="http://schemas.openxmlformats.org/officeDocument/2006/relationships/hyperlink" Target="https://www.diodes.com/part/view/DMTH6010LK3Q" TargetMode="External"/><Relationship Id="rId_hyperlink_3500" Type="http://schemas.openxmlformats.org/officeDocument/2006/relationships/hyperlink" Target="https://www.diodes.com/assets/Datasheets/DMTH6010LK3Q.pdf" TargetMode="External"/><Relationship Id="rId_hyperlink_3501" Type="http://schemas.openxmlformats.org/officeDocument/2006/relationships/hyperlink" Target="https://www.diodes.com/part/view/DMTH6010LPD" TargetMode="External"/><Relationship Id="rId_hyperlink_3502" Type="http://schemas.openxmlformats.org/officeDocument/2006/relationships/hyperlink" Target="https://www.diodes.com/assets/Datasheets/DMTH6010LPD.pdf" TargetMode="External"/><Relationship Id="rId_hyperlink_3503" Type="http://schemas.openxmlformats.org/officeDocument/2006/relationships/hyperlink" Target="https://www.diodes.com/part/view/DMTH6010LPDQ" TargetMode="External"/><Relationship Id="rId_hyperlink_3504" Type="http://schemas.openxmlformats.org/officeDocument/2006/relationships/hyperlink" Target="https://www.diodes.com/assets/Datasheets/DMTH6010LPDQ.pdf" TargetMode="External"/><Relationship Id="rId_hyperlink_3505" Type="http://schemas.openxmlformats.org/officeDocument/2006/relationships/hyperlink" Target="https://www.diodes.com/part/view/DMTH6010LPDW" TargetMode="External"/><Relationship Id="rId_hyperlink_3506" Type="http://schemas.openxmlformats.org/officeDocument/2006/relationships/hyperlink" Target="https://www.diodes.com/assets/Datasheets/DMTH6010LPDW.pdf" TargetMode="External"/><Relationship Id="rId_hyperlink_3507" Type="http://schemas.openxmlformats.org/officeDocument/2006/relationships/hyperlink" Target="https://www.diodes.com/part/view/DMTH6010LPDWQ" TargetMode="External"/><Relationship Id="rId_hyperlink_3508" Type="http://schemas.openxmlformats.org/officeDocument/2006/relationships/hyperlink" Target="https://www.diodes.com/assets/Datasheets/DMTH6010LPDWQ.pdf" TargetMode="External"/><Relationship Id="rId_hyperlink_3509" Type="http://schemas.openxmlformats.org/officeDocument/2006/relationships/hyperlink" Target="https://www.diodes.com/part/view/DMTH6010LPS" TargetMode="External"/><Relationship Id="rId_hyperlink_3510" Type="http://schemas.openxmlformats.org/officeDocument/2006/relationships/hyperlink" Target="https://www.diodes.com/assets/Datasheets/DMTH6010LPS.pdf" TargetMode="External"/><Relationship Id="rId_hyperlink_3511" Type="http://schemas.openxmlformats.org/officeDocument/2006/relationships/hyperlink" Target="https://www.diodes.com/part/view/DMTH6010LPSQ" TargetMode="External"/><Relationship Id="rId_hyperlink_3512" Type="http://schemas.openxmlformats.org/officeDocument/2006/relationships/hyperlink" Target="https://www.diodes.com/assets/Datasheets/DMTH6010LPSQ.pdf" TargetMode="External"/><Relationship Id="rId_hyperlink_3513" Type="http://schemas.openxmlformats.org/officeDocument/2006/relationships/hyperlink" Target="https://www.diodes.com/part/view/DMTH6010LPSW" TargetMode="External"/><Relationship Id="rId_hyperlink_3514" Type="http://schemas.openxmlformats.org/officeDocument/2006/relationships/hyperlink" Target="https://www.diodes.com/assets/Datasheets/DMTH6010LPSW.pdf" TargetMode="External"/><Relationship Id="rId_hyperlink_3515" Type="http://schemas.openxmlformats.org/officeDocument/2006/relationships/hyperlink" Target="https://www.diodes.com/part/view/DMTH6010LPSWQ" TargetMode="External"/><Relationship Id="rId_hyperlink_3516" Type="http://schemas.openxmlformats.org/officeDocument/2006/relationships/hyperlink" Target="https://www.diodes.com/assets/Datasheets/DMTH6010LPSWQ.pdf" TargetMode="External"/><Relationship Id="rId_hyperlink_3517" Type="http://schemas.openxmlformats.org/officeDocument/2006/relationships/hyperlink" Target="https://www.diodes.com/part/view/DMTH6010SCT" TargetMode="External"/><Relationship Id="rId_hyperlink_3518" Type="http://schemas.openxmlformats.org/officeDocument/2006/relationships/hyperlink" Target="https://www.diodes.com/assets/Datasheets/DMTH6010SCT.pdf" TargetMode="External"/><Relationship Id="rId_hyperlink_3519" Type="http://schemas.openxmlformats.org/officeDocument/2006/relationships/hyperlink" Target="https://www.diodes.com/part/view/DMTH6010SK3" TargetMode="External"/><Relationship Id="rId_hyperlink_3520" Type="http://schemas.openxmlformats.org/officeDocument/2006/relationships/hyperlink" Target="https://www.diodes.com/assets/Datasheets/DMTH6010SK3.pdf" TargetMode="External"/><Relationship Id="rId_hyperlink_3521" Type="http://schemas.openxmlformats.org/officeDocument/2006/relationships/hyperlink" Target="https://www.diodes.com/part/view/DMTH6010SK3Q" TargetMode="External"/><Relationship Id="rId_hyperlink_3522" Type="http://schemas.openxmlformats.org/officeDocument/2006/relationships/hyperlink" Target="https://www.diodes.com/assets/Datasheets/DMTH6010SK3Q.pdf" TargetMode="External"/><Relationship Id="rId_hyperlink_3523" Type="http://schemas.openxmlformats.org/officeDocument/2006/relationships/hyperlink" Target="https://www.diodes.com/part/view/DMTH6010SPS" TargetMode="External"/><Relationship Id="rId_hyperlink_3524" Type="http://schemas.openxmlformats.org/officeDocument/2006/relationships/hyperlink" Target="https://www.diodes.com/assets/Datasheets/DMTH6010SPS.pdf" TargetMode="External"/><Relationship Id="rId_hyperlink_3525" Type="http://schemas.openxmlformats.org/officeDocument/2006/relationships/hyperlink" Target="https://www.diodes.com/part/view/DMTH6012LPSW" TargetMode="External"/><Relationship Id="rId_hyperlink_3526" Type="http://schemas.openxmlformats.org/officeDocument/2006/relationships/hyperlink" Target="https://www.diodes.com/assets/Datasheets/DMTH6012LPSW.pdf" TargetMode="External"/><Relationship Id="rId_hyperlink_3527" Type="http://schemas.openxmlformats.org/officeDocument/2006/relationships/hyperlink" Target="https://www.diodes.com/part/view/DMTH6012LPSWQ" TargetMode="External"/><Relationship Id="rId_hyperlink_3528" Type="http://schemas.openxmlformats.org/officeDocument/2006/relationships/hyperlink" Target="https://www.diodes.com/assets/Datasheets/DMTH6012LPSWQ.pdf" TargetMode="External"/><Relationship Id="rId_hyperlink_3529" Type="http://schemas.openxmlformats.org/officeDocument/2006/relationships/hyperlink" Target="https://www.diodes.com/part/view/DMTH6015LDVW" TargetMode="External"/><Relationship Id="rId_hyperlink_3530" Type="http://schemas.openxmlformats.org/officeDocument/2006/relationships/hyperlink" Target="https://www.diodes.com/assets/Datasheets/DMTH6015LDVW.pdf" TargetMode="External"/><Relationship Id="rId_hyperlink_3531" Type="http://schemas.openxmlformats.org/officeDocument/2006/relationships/hyperlink" Target="https://www.diodes.com/part/view/DMTH6015LDVWQ" TargetMode="External"/><Relationship Id="rId_hyperlink_3532" Type="http://schemas.openxmlformats.org/officeDocument/2006/relationships/hyperlink" Target="https://www.diodes.com/assets/Datasheets/DMTH6015LDVWQ.pdf" TargetMode="External"/><Relationship Id="rId_hyperlink_3533" Type="http://schemas.openxmlformats.org/officeDocument/2006/relationships/hyperlink" Target="https://www.diodes.com/part/view/DMTH6015LPDW" TargetMode="External"/><Relationship Id="rId_hyperlink_3534" Type="http://schemas.openxmlformats.org/officeDocument/2006/relationships/hyperlink" Target="https://www.diodes.com/assets/Datasheets/DMTH6015LPDW.pdf" TargetMode="External"/><Relationship Id="rId_hyperlink_3535" Type="http://schemas.openxmlformats.org/officeDocument/2006/relationships/hyperlink" Target="https://www.diodes.com/part/view/DMTH6015LPDWQ" TargetMode="External"/><Relationship Id="rId_hyperlink_3536" Type="http://schemas.openxmlformats.org/officeDocument/2006/relationships/hyperlink" Target="https://www.diodes.com/assets/Datasheets/DMTH6015LPDWQ.pdf" TargetMode="External"/><Relationship Id="rId_hyperlink_3537" Type="http://schemas.openxmlformats.org/officeDocument/2006/relationships/hyperlink" Target="https://www.diodes.com/part/view/DMTH6016LFDFW" TargetMode="External"/><Relationship Id="rId_hyperlink_3538" Type="http://schemas.openxmlformats.org/officeDocument/2006/relationships/hyperlink" Target="https://www.diodes.com/assets/Datasheets/DMTH6016LFDFW.pdf" TargetMode="External"/><Relationship Id="rId_hyperlink_3539" Type="http://schemas.openxmlformats.org/officeDocument/2006/relationships/hyperlink" Target="https://www.diodes.com/part/view/DMTH6016LFDFWQ" TargetMode="External"/><Relationship Id="rId_hyperlink_3540" Type="http://schemas.openxmlformats.org/officeDocument/2006/relationships/hyperlink" Target="https://www.diodes.com/assets/Datasheets/DMTH6016LFDFWQ.pdf" TargetMode="External"/><Relationship Id="rId_hyperlink_3541" Type="http://schemas.openxmlformats.org/officeDocument/2006/relationships/hyperlink" Target="https://www.diodes.com/part/view/DMTH6016LFVW" TargetMode="External"/><Relationship Id="rId_hyperlink_3542" Type="http://schemas.openxmlformats.org/officeDocument/2006/relationships/hyperlink" Target="https://www.diodes.com/assets/Datasheets/DMTH6016LFVW.pdf" TargetMode="External"/><Relationship Id="rId_hyperlink_3543" Type="http://schemas.openxmlformats.org/officeDocument/2006/relationships/hyperlink" Target="https://www.diodes.com/part/view/DMTH6016LFVWQ" TargetMode="External"/><Relationship Id="rId_hyperlink_3544" Type="http://schemas.openxmlformats.org/officeDocument/2006/relationships/hyperlink" Target="https://www.diodes.com/assets/Datasheets/DMTH6016LFVWQ.pdf" TargetMode="External"/><Relationship Id="rId_hyperlink_3545" Type="http://schemas.openxmlformats.org/officeDocument/2006/relationships/hyperlink" Target="https://www.diodes.com/part/view/DMTH6016LK3" TargetMode="External"/><Relationship Id="rId_hyperlink_3546" Type="http://schemas.openxmlformats.org/officeDocument/2006/relationships/hyperlink" Target="https://www.diodes.com/assets/Datasheets/DMTH6016LK3.pdf" TargetMode="External"/><Relationship Id="rId_hyperlink_3547" Type="http://schemas.openxmlformats.org/officeDocument/2006/relationships/hyperlink" Target="https://www.diodes.com/part/view/DMTH6016LK3Q" TargetMode="External"/><Relationship Id="rId_hyperlink_3548" Type="http://schemas.openxmlformats.org/officeDocument/2006/relationships/hyperlink" Target="https://www.diodes.com/assets/Datasheets/DMTH6016LK3Q.pdf" TargetMode="External"/><Relationship Id="rId_hyperlink_3549" Type="http://schemas.openxmlformats.org/officeDocument/2006/relationships/hyperlink" Target="https://www.diodes.com/part/view/DMTH6016LPD" TargetMode="External"/><Relationship Id="rId_hyperlink_3550" Type="http://schemas.openxmlformats.org/officeDocument/2006/relationships/hyperlink" Target="https://www.diodes.com/assets/Datasheets/DMTH6016LPD.pdf" TargetMode="External"/><Relationship Id="rId_hyperlink_3551" Type="http://schemas.openxmlformats.org/officeDocument/2006/relationships/hyperlink" Target="https://www.diodes.com/part/view/DMTH6016LPDQ" TargetMode="External"/><Relationship Id="rId_hyperlink_3552" Type="http://schemas.openxmlformats.org/officeDocument/2006/relationships/hyperlink" Target="https://www.diodes.com/assets/Datasheets/DMTH6016LPDQ.pdf" TargetMode="External"/><Relationship Id="rId_hyperlink_3553" Type="http://schemas.openxmlformats.org/officeDocument/2006/relationships/hyperlink" Target="https://www.diodes.com/part/view/DMTH6016LPDWQ" TargetMode="External"/><Relationship Id="rId_hyperlink_3554" Type="http://schemas.openxmlformats.org/officeDocument/2006/relationships/hyperlink" Target="https://www.diodes.com/assets/Datasheets/DMTH6016LPDWQ.pdf" TargetMode="External"/><Relationship Id="rId_hyperlink_3555" Type="http://schemas.openxmlformats.org/officeDocument/2006/relationships/hyperlink" Target="https://www.diodes.com/part/view/DMTH6016LPS" TargetMode="External"/><Relationship Id="rId_hyperlink_3556" Type="http://schemas.openxmlformats.org/officeDocument/2006/relationships/hyperlink" Target="https://www.diodes.com/assets/Datasheets/DMTH6016LPS.pdf" TargetMode="External"/><Relationship Id="rId_hyperlink_3557" Type="http://schemas.openxmlformats.org/officeDocument/2006/relationships/hyperlink" Target="https://www.diodes.com/part/view/DMTH6016LPSQ" TargetMode="External"/><Relationship Id="rId_hyperlink_3558" Type="http://schemas.openxmlformats.org/officeDocument/2006/relationships/hyperlink" Target="https://www.diodes.com/assets/Datasheets/DMTH6016LPSQ.pdf" TargetMode="External"/><Relationship Id="rId_hyperlink_3559" Type="http://schemas.openxmlformats.org/officeDocument/2006/relationships/hyperlink" Target="https://www.diodes.com/part/view/DMTH6016LPSWQ" TargetMode="External"/><Relationship Id="rId_hyperlink_3560" Type="http://schemas.openxmlformats.org/officeDocument/2006/relationships/hyperlink" Target="https://www.diodes.com/assets/Datasheets/DMTH6016LPSWQ.pdf" TargetMode="External"/><Relationship Id="rId_hyperlink_3561" Type="http://schemas.openxmlformats.org/officeDocument/2006/relationships/hyperlink" Target="https://www.diodes.com/part/view/DMTH6016LSD" TargetMode="External"/><Relationship Id="rId_hyperlink_3562" Type="http://schemas.openxmlformats.org/officeDocument/2006/relationships/hyperlink" Target="https://www.diodes.com/assets/Datasheets/DMTH6016LSD.pdf" TargetMode="External"/><Relationship Id="rId_hyperlink_3563" Type="http://schemas.openxmlformats.org/officeDocument/2006/relationships/hyperlink" Target="https://www.diodes.com/part/view/DMTH6016LSDQ" TargetMode="External"/><Relationship Id="rId_hyperlink_3564" Type="http://schemas.openxmlformats.org/officeDocument/2006/relationships/hyperlink" Target="https://www.diodes.com/assets/Datasheets/DMTH6016LSDQ.pdf" TargetMode="External"/><Relationship Id="rId_hyperlink_3565" Type="http://schemas.openxmlformats.org/officeDocument/2006/relationships/hyperlink" Target="https://www.diodes.com/part/view/DMTH61M5SPSW" TargetMode="External"/><Relationship Id="rId_hyperlink_3566" Type="http://schemas.openxmlformats.org/officeDocument/2006/relationships/hyperlink" Target="https://www.diodes.com/assets/Datasheets/DMTH61M5SPSW.pdf" TargetMode="External"/><Relationship Id="rId_hyperlink_3567" Type="http://schemas.openxmlformats.org/officeDocument/2006/relationships/hyperlink" Target="https://www.diodes.com/part/view/DMTH61M5SPSWQ" TargetMode="External"/><Relationship Id="rId_hyperlink_3568" Type="http://schemas.openxmlformats.org/officeDocument/2006/relationships/hyperlink" Target="https://www.diodes.com/assets/Datasheets/DMTH61M5SPSWQ.pdf" TargetMode="External"/><Relationship Id="rId_hyperlink_3569" Type="http://schemas.openxmlformats.org/officeDocument/2006/relationships/hyperlink" Target="https://www.diodes.com/part/view/DMTH61M8LPS" TargetMode="External"/><Relationship Id="rId_hyperlink_3570" Type="http://schemas.openxmlformats.org/officeDocument/2006/relationships/hyperlink" Target="https://www.diodes.com/assets/Datasheets/DMTH61M8LPS.pdf" TargetMode="External"/><Relationship Id="rId_hyperlink_3571" Type="http://schemas.openxmlformats.org/officeDocument/2006/relationships/hyperlink" Target="https://www.diodes.com/part/view/DMTH61M8LPSQ" TargetMode="External"/><Relationship Id="rId_hyperlink_3572" Type="http://schemas.openxmlformats.org/officeDocument/2006/relationships/hyperlink" Target="https://www.diodes.com/assets/Datasheets/DMTH61M8LPSQ.pdf" TargetMode="External"/><Relationship Id="rId_hyperlink_3573" Type="http://schemas.openxmlformats.org/officeDocument/2006/relationships/hyperlink" Target="https://www.diodes.com/part/view/DMTH61M8SPS" TargetMode="External"/><Relationship Id="rId_hyperlink_3574" Type="http://schemas.openxmlformats.org/officeDocument/2006/relationships/hyperlink" Target="https://www.diodes.com/assets/Datasheets/DMTH61M8SPS.pdf" TargetMode="External"/><Relationship Id="rId_hyperlink_3575" Type="http://schemas.openxmlformats.org/officeDocument/2006/relationships/hyperlink" Target="https://www.diodes.com/part/view/DMTH61M8SPSQ" TargetMode="External"/><Relationship Id="rId_hyperlink_3576" Type="http://schemas.openxmlformats.org/officeDocument/2006/relationships/hyperlink" Target="https://www.diodes.com/assets/Datasheets/DMTH61M8SPSQ.pdf" TargetMode="External"/><Relationship Id="rId_hyperlink_3577" Type="http://schemas.openxmlformats.org/officeDocument/2006/relationships/hyperlink" Target="https://www.diodes.com/part/view/DMTH62M7SPSW" TargetMode="External"/><Relationship Id="rId_hyperlink_3578" Type="http://schemas.openxmlformats.org/officeDocument/2006/relationships/hyperlink" Target="https://www.diodes.com/assets/Datasheets/DMTH62M7SPSW.pdf" TargetMode="External"/><Relationship Id="rId_hyperlink_3579" Type="http://schemas.openxmlformats.org/officeDocument/2006/relationships/hyperlink" Target="https://www.diodes.com/part/view/DMTH62M7SPSWQ" TargetMode="External"/><Relationship Id="rId_hyperlink_3580" Type="http://schemas.openxmlformats.org/officeDocument/2006/relationships/hyperlink" Target="https://www.diodes.com/assets/Datasheets/DMTH62M7SPSWQ.pdf" TargetMode="External"/><Relationship Id="rId_hyperlink_3581" Type="http://schemas.openxmlformats.org/officeDocument/2006/relationships/hyperlink" Target="https://www.diodes.com/part/view/DMTH62M8LPS" TargetMode="External"/><Relationship Id="rId_hyperlink_3582" Type="http://schemas.openxmlformats.org/officeDocument/2006/relationships/hyperlink" Target="https://www.diodes.com/assets/Datasheets/DMTH62M8LPS.pdf" TargetMode="External"/><Relationship Id="rId_hyperlink_3583" Type="http://schemas.openxmlformats.org/officeDocument/2006/relationships/hyperlink" Target="https://www.diodes.com/part/view/DMTH62M8SPS" TargetMode="External"/><Relationship Id="rId_hyperlink_3584" Type="http://schemas.openxmlformats.org/officeDocument/2006/relationships/hyperlink" Target="https://www.diodes.com/assets/Datasheets/DMTH62M8SPS.pdf" TargetMode="External"/><Relationship Id="rId_hyperlink_3585" Type="http://schemas.openxmlformats.org/officeDocument/2006/relationships/hyperlink" Target="https://www.diodes.com/part/view/DMTH63M6LPSW" TargetMode="External"/><Relationship Id="rId_hyperlink_3586" Type="http://schemas.openxmlformats.org/officeDocument/2006/relationships/hyperlink" Target="https://www.diodes.com/assets/Datasheets/DMTH63M6LPSW.pdf" TargetMode="External"/><Relationship Id="rId_hyperlink_3587" Type="http://schemas.openxmlformats.org/officeDocument/2006/relationships/hyperlink" Target="https://www.diodes.com/part/view/DMTH63M6LPSWQ" TargetMode="External"/><Relationship Id="rId_hyperlink_3588" Type="http://schemas.openxmlformats.org/officeDocument/2006/relationships/hyperlink" Target="https://www.diodes.com/assets/Datasheets/DMTH63M6LPSWQ.pdf" TargetMode="External"/><Relationship Id="rId_hyperlink_3589" Type="http://schemas.openxmlformats.org/officeDocument/2006/relationships/hyperlink" Target="https://www.diodes.com/part/view/DMTH69M8LFVW" TargetMode="External"/><Relationship Id="rId_hyperlink_3590" Type="http://schemas.openxmlformats.org/officeDocument/2006/relationships/hyperlink" Target="https://www.diodes.com/assets/Datasheets/DMTH69M8LFVW.pdf" TargetMode="External"/><Relationship Id="rId_hyperlink_3591" Type="http://schemas.openxmlformats.org/officeDocument/2006/relationships/hyperlink" Target="https://www.diodes.com/part/view/DMTH69M8LFVWQ" TargetMode="External"/><Relationship Id="rId_hyperlink_3592" Type="http://schemas.openxmlformats.org/officeDocument/2006/relationships/hyperlink" Target="https://www.diodes.com/assets/Datasheets/DMTH69M8LFVWQ.pdf" TargetMode="External"/><Relationship Id="rId_hyperlink_3593" Type="http://schemas.openxmlformats.org/officeDocument/2006/relationships/hyperlink" Target="https://www.diodes.com/part/view/DMTH69M9LPDW" TargetMode="External"/><Relationship Id="rId_hyperlink_3594" Type="http://schemas.openxmlformats.org/officeDocument/2006/relationships/hyperlink" Target="https://www.diodes.com/assets/Datasheets/DMTH69M9LPDW.pdf" TargetMode="External"/><Relationship Id="rId_hyperlink_3595" Type="http://schemas.openxmlformats.org/officeDocument/2006/relationships/hyperlink" Target="https://www.diodes.com/part/view/DMTH69M9LPDWQ" TargetMode="External"/><Relationship Id="rId_hyperlink_3596" Type="http://schemas.openxmlformats.org/officeDocument/2006/relationships/hyperlink" Target="https://www.diodes.com/assets/Datasheets/DMTH69M9LPDWQ.pdf" TargetMode="External"/><Relationship Id="rId_hyperlink_3597" Type="http://schemas.openxmlformats.org/officeDocument/2006/relationships/hyperlink" Target="https://www.diodes.com/part/view/DMTH8001STLW" TargetMode="External"/><Relationship Id="rId_hyperlink_3598" Type="http://schemas.openxmlformats.org/officeDocument/2006/relationships/hyperlink" Target="https://www.diodes.com/assets/Datasheets/DMTH8001STLW.pdf" TargetMode="External"/><Relationship Id="rId_hyperlink_3599" Type="http://schemas.openxmlformats.org/officeDocument/2006/relationships/hyperlink" Target="https://www.diodes.com/part/view/DMTH8001STLWQ" TargetMode="External"/><Relationship Id="rId_hyperlink_3600" Type="http://schemas.openxmlformats.org/officeDocument/2006/relationships/hyperlink" Target="https://www.diodes.com/assets/Datasheets/DMTH8001STLWQ.pdf" TargetMode="External"/><Relationship Id="rId_hyperlink_3601" Type="http://schemas.openxmlformats.org/officeDocument/2006/relationships/hyperlink" Target="https://www.diodes.com/part/view/DMTH8003SPS" TargetMode="External"/><Relationship Id="rId_hyperlink_3602" Type="http://schemas.openxmlformats.org/officeDocument/2006/relationships/hyperlink" Target="https://www.diodes.com/assets/Datasheets/DMTH8003SPS.pdf" TargetMode="External"/><Relationship Id="rId_hyperlink_3603" Type="http://schemas.openxmlformats.org/officeDocument/2006/relationships/hyperlink" Target="https://www.diodes.com/part/view/DMTH8003STLW" TargetMode="External"/><Relationship Id="rId_hyperlink_3604" Type="http://schemas.openxmlformats.org/officeDocument/2006/relationships/hyperlink" Target="https://www.diodes.com/assets/Datasheets/DMTH8003STLW.pdf" TargetMode="External"/><Relationship Id="rId_hyperlink_3605" Type="http://schemas.openxmlformats.org/officeDocument/2006/relationships/hyperlink" Target="https://www.diodes.com/part/view/DMTH8003STLWQ" TargetMode="External"/><Relationship Id="rId_hyperlink_3606" Type="http://schemas.openxmlformats.org/officeDocument/2006/relationships/hyperlink" Target="https://www.diodes.com/assets/Datasheets/DMTH8003STLWQ.pdf" TargetMode="External"/><Relationship Id="rId_hyperlink_3607" Type="http://schemas.openxmlformats.org/officeDocument/2006/relationships/hyperlink" Target="https://www.diodes.com/part/view/DMTH8004LPS" TargetMode="External"/><Relationship Id="rId_hyperlink_3608" Type="http://schemas.openxmlformats.org/officeDocument/2006/relationships/hyperlink" Target="https://www.diodes.com/assets/Datasheets/DMTH8004LPS.pdf" TargetMode="External"/><Relationship Id="rId_hyperlink_3609" Type="http://schemas.openxmlformats.org/officeDocument/2006/relationships/hyperlink" Target="https://www.diodes.com/part/view/DMTH8008LFG" TargetMode="External"/><Relationship Id="rId_hyperlink_3610" Type="http://schemas.openxmlformats.org/officeDocument/2006/relationships/hyperlink" Target="https://www.diodes.com/assets/Datasheets/DMTH8008LFG.pdf" TargetMode="External"/><Relationship Id="rId_hyperlink_3611" Type="http://schemas.openxmlformats.org/officeDocument/2006/relationships/hyperlink" Target="https://www.diodes.com/part/view/DMTH8008LFGQ" TargetMode="External"/><Relationship Id="rId_hyperlink_3612" Type="http://schemas.openxmlformats.org/officeDocument/2006/relationships/hyperlink" Target="https://www.diodes.com/assets/Datasheets/DMTH8008LFGQ.pdf" TargetMode="External"/><Relationship Id="rId_hyperlink_3613" Type="http://schemas.openxmlformats.org/officeDocument/2006/relationships/hyperlink" Target="https://www.diodes.com/part/view/DMTH8008LPS" TargetMode="External"/><Relationship Id="rId_hyperlink_3614" Type="http://schemas.openxmlformats.org/officeDocument/2006/relationships/hyperlink" Target="https://www.diodes.com/assets/Datasheets/DMTH8008LPS.pdf" TargetMode="External"/><Relationship Id="rId_hyperlink_3615" Type="http://schemas.openxmlformats.org/officeDocument/2006/relationships/hyperlink" Target="https://www.diodes.com/part/view/DMTH8008LPSQ" TargetMode="External"/><Relationship Id="rId_hyperlink_3616" Type="http://schemas.openxmlformats.org/officeDocument/2006/relationships/hyperlink" Target="https://www.diodes.com/assets/Datasheets/DMTH8008LPSQ.pdf" TargetMode="External"/><Relationship Id="rId_hyperlink_3617" Type="http://schemas.openxmlformats.org/officeDocument/2006/relationships/hyperlink" Target="https://www.diodes.com/part/view/DMTH8008LPSWQ" TargetMode="External"/><Relationship Id="rId_hyperlink_3618" Type="http://schemas.openxmlformats.org/officeDocument/2006/relationships/hyperlink" Target="https://www.diodes.com/assets/Datasheets/DMTH8008LPSWQ.pdf" TargetMode="External"/><Relationship Id="rId_hyperlink_3619" Type="http://schemas.openxmlformats.org/officeDocument/2006/relationships/hyperlink" Target="https://www.diodes.com/part/view/DMTH8008SFG" TargetMode="External"/><Relationship Id="rId_hyperlink_3620" Type="http://schemas.openxmlformats.org/officeDocument/2006/relationships/hyperlink" Target="https://www.diodes.com/assets/Datasheets/DMTH8008SFG.pdf" TargetMode="External"/><Relationship Id="rId_hyperlink_3621" Type="http://schemas.openxmlformats.org/officeDocument/2006/relationships/hyperlink" Target="https://www.diodes.com/part/view/DMTH8008SFGQ" TargetMode="External"/><Relationship Id="rId_hyperlink_3622" Type="http://schemas.openxmlformats.org/officeDocument/2006/relationships/hyperlink" Target="https://www.diodes.com/assets/Datasheets/DMTH8008SFGQ.pdf" TargetMode="External"/><Relationship Id="rId_hyperlink_3623" Type="http://schemas.openxmlformats.org/officeDocument/2006/relationships/hyperlink" Target="https://www.diodes.com/part/view/DMTH8008SPS" TargetMode="External"/><Relationship Id="rId_hyperlink_3624" Type="http://schemas.openxmlformats.org/officeDocument/2006/relationships/hyperlink" Target="https://www.diodes.com/assets/Datasheets/DMTH8008SPS.pdf" TargetMode="External"/><Relationship Id="rId_hyperlink_3625" Type="http://schemas.openxmlformats.org/officeDocument/2006/relationships/hyperlink" Target="https://www.diodes.com/part/view/DMTH8008SPSQ" TargetMode="External"/><Relationship Id="rId_hyperlink_3626" Type="http://schemas.openxmlformats.org/officeDocument/2006/relationships/hyperlink" Target="https://www.diodes.com/assets/Datasheets/DMTH8008SPSQ.pdf" TargetMode="External"/><Relationship Id="rId_hyperlink_3627" Type="http://schemas.openxmlformats.org/officeDocument/2006/relationships/hyperlink" Target="https://www.diodes.com/part/view/DMTH8008SPSWQ" TargetMode="External"/><Relationship Id="rId_hyperlink_3628" Type="http://schemas.openxmlformats.org/officeDocument/2006/relationships/hyperlink" Target="https://www.diodes.com/assets/Datasheets/DMTH8008SPSWQ.pdf" TargetMode="External"/><Relationship Id="rId_hyperlink_3629" Type="http://schemas.openxmlformats.org/officeDocument/2006/relationships/hyperlink" Target="https://www.diodes.com/part/view/DMTH8012LK3" TargetMode="External"/><Relationship Id="rId_hyperlink_3630" Type="http://schemas.openxmlformats.org/officeDocument/2006/relationships/hyperlink" Target="https://www.diodes.com/assets/Datasheets/DMTH8012LK3.pdf" TargetMode="External"/><Relationship Id="rId_hyperlink_3631" Type="http://schemas.openxmlformats.org/officeDocument/2006/relationships/hyperlink" Target="https://www.diodes.com/part/view/DMTH8012LK3Q" TargetMode="External"/><Relationship Id="rId_hyperlink_3632" Type="http://schemas.openxmlformats.org/officeDocument/2006/relationships/hyperlink" Target="https://www.diodes.com/assets/Datasheets/DMTH8012LK3Q.pdf" TargetMode="External"/><Relationship Id="rId_hyperlink_3633" Type="http://schemas.openxmlformats.org/officeDocument/2006/relationships/hyperlink" Target="https://www.diodes.com/part/view/DMTH8012LPS" TargetMode="External"/><Relationship Id="rId_hyperlink_3634" Type="http://schemas.openxmlformats.org/officeDocument/2006/relationships/hyperlink" Target="https://www.diodes.com/assets/Datasheets/DMTH8012LPS.pdf" TargetMode="External"/><Relationship Id="rId_hyperlink_3635" Type="http://schemas.openxmlformats.org/officeDocument/2006/relationships/hyperlink" Target="https://www.diodes.com/part/view/DMTH8012LPSQ" TargetMode="External"/><Relationship Id="rId_hyperlink_3636" Type="http://schemas.openxmlformats.org/officeDocument/2006/relationships/hyperlink" Target="https://www.diodes.com/assets/Datasheets/DMTH8012LPSQ.pdf" TargetMode="External"/><Relationship Id="rId_hyperlink_3637" Type="http://schemas.openxmlformats.org/officeDocument/2006/relationships/hyperlink" Target="https://www.diodes.com/part/view/DMTH8012LPSW" TargetMode="External"/><Relationship Id="rId_hyperlink_3638" Type="http://schemas.openxmlformats.org/officeDocument/2006/relationships/hyperlink" Target="https://www.diodes.com/assets/Datasheets/DMTH8012LPSW.pdf" TargetMode="External"/><Relationship Id="rId_hyperlink_3639" Type="http://schemas.openxmlformats.org/officeDocument/2006/relationships/hyperlink" Target="https://www.diodes.com/part/view/DMTH8028LFVW" TargetMode="External"/><Relationship Id="rId_hyperlink_3640" Type="http://schemas.openxmlformats.org/officeDocument/2006/relationships/hyperlink" Target="https://www.diodes.com/assets/Datasheets/DMTH8028LFVW.pdf" TargetMode="External"/><Relationship Id="rId_hyperlink_3641" Type="http://schemas.openxmlformats.org/officeDocument/2006/relationships/hyperlink" Target="https://www.diodes.com/part/view/DMTH8028LFVWQ" TargetMode="External"/><Relationship Id="rId_hyperlink_3642" Type="http://schemas.openxmlformats.org/officeDocument/2006/relationships/hyperlink" Target="https://www.diodes.com/assets/Datasheets/DMTH8028LFVWQ.pdf" TargetMode="External"/><Relationship Id="rId_hyperlink_3643" Type="http://schemas.openxmlformats.org/officeDocument/2006/relationships/hyperlink" Target="https://www.diodes.com/part/view/DMTH8028LPSW" TargetMode="External"/><Relationship Id="rId_hyperlink_3644" Type="http://schemas.openxmlformats.org/officeDocument/2006/relationships/hyperlink" Target="https://www.diodes.com/assets/Datasheets/DMTH8028LPSW.pdf" TargetMode="External"/><Relationship Id="rId_hyperlink_3645" Type="http://schemas.openxmlformats.org/officeDocument/2006/relationships/hyperlink" Target="https://www.diodes.com/part/view/DMTH8028LPSWQ" TargetMode="External"/><Relationship Id="rId_hyperlink_3646" Type="http://schemas.openxmlformats.org/officeDocument/2006/relationships/hyperlink" Target="https://www.diodes.com/assets/Datasheets/DMTH8028LPSWQ.pdf" TargetMode="External"/><Relationship Id="rId_hyperlink_3647" Type="http://schemas.openxmlformats.org/officeDocument/2006/relationships/hyperlink" Target="https://www.diodes.com/part/view/DMTH8030LPDW" TargetMode="External"/><Relationship Id="rId_hyperlink_3648" Type="http://schemas.openxmlformats.org/officeDocument/2006/relationships/hyperlink" Target="https://www.diodes.com/assets/Datasheets/DMTH8030LPDW.pdf" TargetMode="External"/><Relationship Id="rId_hyperlink_3649" Type="http://schemas.openxmlformats.org/officeDocument/2006/relationships/hyperlink" Target="https://www.diodes.com/part/view/DMTH8030LPDWQ" TargetMode="External"/><Relationship Id="rId_hyperlink_3650" Type="http://schemas.openxmlformats.org/officeDocument/2006/relationships/hyperlink" Target="https://www.diodes.com/assets/Datasheets/DMTH8030LPDWQ.pdf" TargetMode="External"/><Relationship Id="rId_hyperlink_3651" Type="http://schemas.openxmlformats.org/officeDocument/2006/relationships/hyperlink" Target="https://www.diodes.com/part/view/DMTH83M2SPSW" TargetMode="External"/><Relationship Id="rId_hyperlink_3652" Type="http://schemas.openxmlformats.org/officeDocument/2006/relationships/hyperlink" Target="https://www.diodes.com/assets/Datasheets/DMTH83M2SPSW.pdf" TargetMode="External"/><Relationship Id="rId_hyperlink_3653" Type="http://schemas.openxmlformats.org/officeDocument/2006/relationships/hyperlink" Target="https://www.diodes.com/part/view/DMTH83M2SPSWQ" TargetMode="External"/><Relationship Id="rId_hyperlink_3654" Type="http://schemas.openxmlformats.org/officeDocument/2006/relationships/hyperlink" Target="https://www.diodes.com/assets/Datasheets/DMTH83M2SPSWQ.pdf" TargetMode="External"/><Relationship Id="rId_hyperlink_3655" Type="http://schemas.openxmlformats.org/officeDocument/2006/relationships/hyperlink" Target="https://www.diodes.com/part/view/DMTH84M1SPS" TargetMode="External"/><Relationship Id="rId_hyperlink_3656" Type="http://schemas.openxmlformats.org/officeDocument/2006/relationships/hyperlink" Target="https://www.diodes.com/assets/Datasheets/DMTH84M1SPS.pdf" TargetMode="External"/><Relationship Id="rId_hyperlink_3657" Type="http://schemas.openxmlformats.org/officeDocument/2006/relationships/hyperlink" Target="https://www.diodes.com/part/view/DMTH84M1SPSQ" TargetMode="External"/><Relationship Id="rId_hyperlink_3658" Type="http://schemas.openxmlformats.org/officeDocument/2006/relationships/hyperlink" Target="https://www.diodes.com/assets/Datasheets/DMTH84M1SPSQ.pdf" TargetMode="External"/><Relationship Id="rId_hyperlink_3659" Type="http://schemas.openxmlformats.org/officeDocument/2006/relationships/hyperlink" Target="https://www.diodes.com/part/view/DMWS120H100SM4" TargetMode="External"/><Relationship Id="rId_hyperlink_3660" Type="http://schemas.openxmlformats.org/officeDocument/2006/relationships/hyperlink" Target="https://www.diodes.com/assets/Datasheets/DMWS120H100SM4.pdf" TargetMode="External"/><Relationship Id="rId_hyperlink_3661" Type="http://schemas.openxmlformats.org/officeDocument/2006/relationships/hyperlink" Target="https://www.diodes.com/part/view/DMWSH120H28SM3" TargetMode="External"/><Relationship Id="rId_hyperlink_3662" Type="http://schemas.openxmlformats.org/officeDocument/2006/relationships/hyperlink" Target="https://www.diodes.com/assets/Datasheets/DMWSH120H28SM3.pdf" TargetMode="External"/><Relationship Id="rId_hyperlink_3663" Type="http://schemas.openxmlformats.org/officeDocument/2006/relationships/hyperlink" Target="https://www.diodes.com/part/view/DMWSH120H28SM3Q" TargetMode="External"/><Relationship Id="rId_hyperlink_3664" Type="http://schemas.openxmlformats.org/officeDocument/2006/relationships/hyperlink" Target="https://www.diodes.com/assets/Datasheets/DMWSH120H28SM3Q.pdf" TargetMode="External"/><Relationship Id="rId_hyperlink_3665" Type="http://schemas.openxmlformats.org/officeDocument/2006/relationships/hyperlink" Target="https://www.diodes.com/part/view/DMWSH120H28SM4" TargetMode="External"/><Relationship Id="rId_hyperlink_3666" Type="http://schemas.openxmlformats.org/officeDocument/2006/relationships/hyperlink" Target="https://www.diodes.com/assets/Datasheets/DMWSH120H28SM4.pdf" TargetMode="External"/><Relationship Id="rId_hyperlink_3667" Type="http://schemas.openxmlformats.org/officeDocument/2006/relationships/hyperlink" Target="https://www.diodes.com/part/view/DMWSH120H28SM4Q" TargetMode="External"/><Relationship Id="rId_hyperlink_3668" Type="http://schemas.openxmlformats.org/officeDocument/2006/relationships/hyperlink" Target="https://www.diodes.com/assets/Datasheets/DMWSH120H28SM4Q.pdf" TargetMode="External"/><Relationship Id="rId_hyperlink_3669" Type="http://schemas.openxmlformats.org/officeDocument/2006/relationships/hyperlink" Target="https://www.diodes.com/part/view/DMWSH120H43SM3" TargetMode="External"/><Relationship Id="rId_hyperlink_3670" Type="http://schemas.openxmlformats.org/officeDocument/2006/relationships/hyperlink" Target="https://www.diodes.com/assets/Datasheets/DMWSH120H43SM3.pdf" TargetMode="External"/><Relationship Id="rId_hyperlink_3671" Type="http://schemas.openxmlformats.org/officeDocument/2006/relationships/hyperlink" Target="https://www.diodes.com/part/view/DMWSH120H43SM4" TargetMode="External"/><Relationship Id="rId_hyperlink_3672" Type="http://schemas.openxmlformats.org/officeDocument/2006/relationships/hyperlink" Target="https://www.diodes.com/assets/Datasheets/DMWSH120H43SM4.pdf" TargetMode="External"/><Relationship Id="rId_hyperlink_3673" Type="http://schemas.openxmlformats.org/officeDocument/2006/relationships/hyperlink" Target="https://www.diodes.com/part/view/DMWSH120H90SM3" TargetMode="External"/><Relationship Id="rId_hyperlink_3674" Type="http://schemas.openxmlformats.org/officeDocument/2006/relationships/hyperlink" Target="https://www.diodes.com/assets/Datasheets/DMWSH120H90SM3.pdf" TargetMode="External"/><Relationship Id="rId_hyperlink_3675" Type="http://schemas.openxmlformats.org/officeDocument/2006/relationships/hyperlink" Target="https://www.diodes.com/part/view/DMWSH120H90SM3Q" TargetMode="External"/><Relationship Id="rId_hyperlink_3676" Type="http://schemas.openxmlformats.org/officeDocument/2006/relationships/hyperlink" Target="https://www.diodes.com/assets/Datasheets/DMWSH120H90SM3Q.pdf" TargetMode="External"/><Relationship Id="rId_hyperlink_3677" Type="http://schemas.openxmlformats.org/officeDocument/2006/relationships/hyperlink" Target="https://www.diodes.com/part/view/DMWSH120H90SM4" TargetMode="External"/><Relationship Id="rId_hyperlink_3678" Type="http://schemas.openxmlformats.org/officeDocument/2006/relationships/hyperlink" Target="https://www.diodes.com/assets/Datasheets/DMWSH120H90SM4.pdf" TargetMode="External"/><Relationship Id="rId_hyperlink_3679" Type="http://schemas.openxmlformats.org/officeDocument/2006/relationships/hyperlink" Target="https://www.diodes.com/part/view/DMWSH120H90SM4Q" TargetMode="External"/><Relationship Id="rId_hyperlink_3680" Type="http://schemas.openxmlformats.org/officeDocument/2006/relationships/hyperlink" Target="https://www.diodes.com/assets/Datasheets/DMWSH120H90SM4Q.pdf" TargetMode="External"/><Relationship Id="rId_hyperlink_3681" Type="http://schemas.openxmlformats.org/officeDocument/2006/relationships/hyperlink" Target="https://www.diodes.com/part/view/DTM3A25P20NFDB" TargetMode="External"/><Relationship Id="rId_hyperlink_3682" Type="http://schemas.openxmlformats.org/officeDocument/2006/relationships/hyperlink" Target="https://www.diodes.com/assets/Datasheets/DTM3A25P20NFDB.pdf" TargetMode="External"/><Relationship Id="rId_hyperlink_3683" Type="http://schemas.openxmlformats.org/officeDocument/2006/relationships/hyperlink" Target="https://www.diodes.com/part/view/MMBF170" TargetMode="External"/><Relationship Id="rId_hyperlink_3684" Type="http://schemas.openxmlformats.org/officeDocument/2006/relationships/hyperlink" Target="https://www.diodes.com/assets/Datasheets/MMBF170.pdf" TargetMode="External"/><Relationship Id="rId_hyperlink_3685" Type="http://schemas.openxmlformats.org/officeDocument/2006/relationships/hyperlink" Target="https://www.diodes.com/part/view/MMBF170Q" TargetMode="External"/><Relationship Id="rId_hyperlink_3686" Type="http://schemas.openxmlformats.org/officeDocument/2006/relationships/hyperlink" Target="https://www.diodes.com/assets/Datasheets/MMBF170Q.pdf" TargetMode="External"/><Relationship Id="rId_hyperlink_3687" Type="http://schemas.openxmlformats.org/officeDocument/2006/relationships/hyperlink" Target="https://www.diodes.com/part/view/NMSD200B01" TargetMode="External"/><Relationship Id="rId_hyperlink_3688" Type="http://schemas.openxmlformats.org/officeDocument/2006/relationships/hyperlink" Target="https://www.diodes.com/assets/Datasheets/ds30911.pdf" TargetMode="External"/><Relationship Id="rId_hyperlink_3689" Type="http://schemas.openxmlformats.org/officeDocument/2006/relationships/hyperlink" Target="https://www.diodes.com/part/view/VN10LF" TargetMode="External"/><Relationship Id="rId_hyperlink_3690" Type="http://schemas.openxmlformats.org/officeDocument/2006/relationships/hyperlink" Target="https://www.diodes.com/assets/Datasheets/VN10LF.pdf" TargetMode="External"/><Relationship Id="rId_hyperlink_3691" Type="http://schemas.openxmlformats.org/officeDocument/2006/relationships/hyperlink" Target="https://www.diodes.com/part/view/VN10LP" TargetMode="External"/><Relationship Id="rId_hyperlink_3692" Type="http://schemas.openxmlformats.org/officeDocument/2006/relationships/hyperlink" Target="https://www.diodes.com/assets/Datasheets/VN10LP.pdf" TargetMode="External"/><Relationship Id="rId_hyperlink_3693" Type="http://schemas.openxmlformats.org/officeDocument/2006/relationships/hyperlink" Target="https://www.diodes.com/part/view/ZVN0124A" TargetMode="External"/><Relationship Id="rId_hyperlink_3694" Type="http://schemas.openxmlformats.org/officeDocument/2006/relationships/hyperlink" Target="https://www.diodes.com/assets/Datasheets/ZVN0124A.pdf" TargetMode="External"/><Relationship Id="rId_hyperlink_3695" Type="http://schemas.openxmlformats.org/officeDocument/2006/relationships/hyperlink" Target="https://www.diodes.com/part/view/ZVN0545A" TargetMode="External"/><Relationship Id="rId_hyperlink_3696" Type="http://schemas.openxmlformats.org/officeDocument/2006/relationships/hyperlink" Target="https://www.diodes.com/assets/Datasheets/ZVN0545A.pdf" TargetMode="External"/><Relationship Id="rId_hyperlink_3697" Type="http://schemas.openxmlformats.org/officeDocument/2006/relationships/hyperlink" Target="https://www.diodes.com/part/view/ZVN0545G" TargetMode="External"/><Relationship Id="rId_hyperlink_3698" Type="http://schemas.openxmlformats.org/officeDocument/2006/relationships/hyperlink" Target="https://www.diodes.com/assets/Datasheets/ZVN0545G.pdf" TargetMode="External"/><Relationship Id="rId_hyperlink_3699" Type="http://schemas.openxmlformats.org/officeDocument/2006/relationships/hyperlink" Target="https://www.diodes.com/part/view/ZVN2106A" TargetMode="External"/><Relationship Id="rId_hyperlink_3700" Type="http://schemas.openxmlformats.org/officeDocument/2006/relationships/hyperlink" Target="https://www.diodes.com/assets/Datasheets/ZVN2106A.pdf" TargetMode="External"/><Relationship Id="rId_hyperlink_3701" Type="http://schemas.openxmlformats.org/officeDocument/2006/relationships/hyperlink" Target="https://www.diodes.com/part/view/ZVN2106G" TargetMode="External"/><Relationship Id="rId_hyperlink_3702" Type="http://schemas.openxmlformats.org/officeDocument/2006/relationships/hyperlink" Target="https://www.diodes.com/assets/Datasheets/ZVN2106G.pdf" TargetMode="External"/><Relationship Id="rId_hyperlink_3703" Type="http://schemas.openxmlformats.org/officeDocument/2006/relationships/hyperlink" Target="https://www.diodes.com/part/view/ZVN2110A" TargetMode="External"/><Relationship Id="rId_hyperlink_3704" Type="http://schemas.openxmlformats.org/officeDocument/2006/relationships/hyperlink" Target="https://www.diodes.com/assets/Datasheets/ZVN2110A.pdf" TargetMode="External"/><Relationship Id="rId_hyperlink_3705" Type="http://schemas.openxmlformats.org/officeDocument/2006/relationships/hyperlink" Target="https://www.diodes.com/part/view/ZVN2110G" TargetMode="External"/><Relationship Id="rId_hyperlink_3706" Type="http://schemas.openxmlformats.org/officeDocument/2006/relationships/hyperlink" Target="https://www.diodes.com/assets/Datasheets/ZVN2110G.pdf" TargetMode="External"/><Relationship Id="rId_hyperlink_3707" Type="http://schemas.openxmlformats.org/officeDocument/2006/relationships/hyperlink" Target="https://www.diodes.com/part/view/ZVN2120G" TargetMode="External"/><Relationship Id="rId_hyperlink_3708" Type="http://schemas.openxmlformats.org/officeDocument/2006/relationships/hyperlink" Target="https://www.diodes.com/assets/Datasheets/ZVN2120G.pdf" TargetMode="External"/><Relationship Id="rId_hyperlink_3709" Type="http://schemas.openxmlformats.org/officeDocument/2006/relationships/hyperlink" Target="https://www.diodes.com/part/view/ZVN3306A" TargetMode="External"/><Relationship Id="rId_hyperlink_3710" Type="http://schemas.openxmlformats.org/officeDocument/2006/relationships/hyperlink" Target="https://www.diodes.com/assets/Datasheets/ZVN3306A.pdf" TargetMode="External"/><Relationship Id="rId_hyperlink_3711" Type="http://schemas.openxmlformats.org/officeDocument/2006/relationships/hyperlink" Target="https://www.diodes.com/part/view/ZVN3306F" TargetMode="External"/><Relationship Id="rId_hyperlink_3712" Type="http://schemas.openxmlformats.org/officeDocument/2006/relationships/hyperlink" Target="https://www.diodes.com/assets/Datasheets/ZVN3306F.pdf" TargetMode="External"/><Relationship Id="rId_hyperlink_3713" Type="http://schemas.openxmlformats.org/officeDocument/2006/relationships/hyperlink" Target="https://www.diodes.com/part/view/ZVN3310A" TargetMode="External"/><Relationship Id="rId_hyperlink_3714" Type="http://schemas.openxmlformats.org/officeDocument/2006/relationships/hyperlink" Target="https://www.diodes.com/assets/Datasheets/ZVN3310A.pdf" TargetMode="External"/><Relationship Id="rId_hyperlink_3715" Type="http://schemas.openxmlformats.org/officeDocument/2006/relationships/hyperlink" Target="https://www.diodes.com/part/view/ZVN3310F" TargetMode="External"/><Relationship Id="rId_hyperlink_3716" Type="http://schemas.openxmlformats.org/officeDocument/2006/relationships/hyperlink" Target="https://www.diodes.com/assets/Datasheets/ZVN3310F.pdf" TargetMode="External"/><Relationship Id="rId_hyperlink_3717" Type="http://schemas.openxmlformats.org/officeDocument/2006/relationships/hyperlink" Target="https://www.diodes.com/part/view/ZVN3320F" TargetMode="External"/><Relationship Id="rId_hyperlink_3718" Type="http://schemas.openxmlformats.org/officeDocument/2006/relationships/hyperlink" Target="https://www.diodes.com/assets/Datasheets/ZVN3320F.pdf" TargetMode="External"/><Relationship Id="rId_hyperlink_3719" Type="http://schemas.openxmlformats.org/officeDocument/2006/relationships/hyperlink" Target="https://www.diodes.com/part/view/ZVN4106F" TargetMode="External"/><Relationship Id="rId_hyperlink_3720" Type="http://schemas.openxmlformats.org/officeDocument/2006/relationships/hyperlink" Target="https://www.diodes.com/assets/Datasheets/ZVN4106F.pdf" TargetMode="External"/><Relationship Id="rId_hyperlink_3721" Type="http://schemas.openxmlformats.org/officeDocument/2006/relationships/hyperlink" Target="https://www.diodes.com/part/view/ZVN4206A" TargetMode="External"/><Relationship Id="rId_hyperlink_3722" Type="http://schemas.openxmlformats.org/officeDocument/2006/relationships/hyperlink" Target="https://www.diodes.com/assets/Datasheets/ZVN4206A.pdf" TargetMode="External"/><Relationship Id="rId_hyperlink_3723" Type="http://schemas.openxmlformats.org/officeDocument/2006/relationships/hyperlink" Target="https://www.diodes.com/part/view/ZVN4206AV" TargetMode="External"/><Relationship Id="rId_hyperlink_3724" Type="http://schemas.openxmlformats.org/officeDocument/2006/relationships/hyperlink" Target="https://www.diodes.com/assets/Datasheets/ZVN4206AV.pdf" TargetMode="External"/><Relationship Id="rId_hyperlink_3725" Type="http://schemas.openxmlformats.org/officeDocument/2006/relationships/hyperlink" Target="https://www.diodes.com/part/view/ZVN4206G" TargetMode="External"/><Relationship Id="rId_hyperlink_3726" Type="http://schemas.openxmlformats.org/officeDocument/2006/relationships/hyperlink" Target="https://www.diodes.com/assets/Datasheets/ZVN4206G.pdf" TargetMode="External"/><Relationship Id="rId_hyperlink_3727" Type="http://schemas.openxmlformats.org/officeDocument/2006/relationships/hyperlink" Target="https://www.diodes.com/part/view/ZVN4206GV" TargetMode="External"/><Relationship Id="rId_hyperlink_3728" Type="http://schemas.openxmlformats.org/officeDocument/2006/relationships/hyperlink" Target="https://www.diodes.com/assets/Datasheets/ZVN4206GV.pdf" TargetMode="External"/><Relationship Id="rId_hyperlink_3729" Type="http://schemas.openxmlformats.org/officeDocument/2006/relationships/hyperlink" Target="https://www.diodes.com/part/view/ZVN4210A" TargetMode="External"/><Relationship Id="rId_hyperlink_3730" Type="http://schemas.openxmlformats.org/officeDocument/2006/relationships/hyperlink" Target="https://www.diodes.com/assets/Datasheets/ZVN4210A.pdf" TargetMode="External"/><Relationship Id="rId_hyperlink_3731" Type="http://schemas.openxmlformats.org/officeDocument/2006/relationships/hyperlink" Target="https://www.diodes.com/part/view/ZVN4210G" TargetMode="External"/><Relationship Id="rId_hyperlink_3732" Type="http://schemas.openxmlformats.org/officeDocument/2006/relationships/hyperlink" Target="https://www.diodes.com/assets/Datasheets/ZVN4210G.pdf" TargetMode="External"/><Relationship Id="rId_hyperlink_3733" Type="http://schemas.openxmlformats.org/officeDocument/2006/relationships/hyperlink" Target="https://www.diodes.com/part/view/ZVN4306A" TargetMode="External"/><Relationship Id="rId_hyperlink_3734" Type="http://schemas.openxmlformats.org/officeDocument/2006/relationships/hyperlink" Target="https://www.diodes.com/assets/Datasheets/ZVN4306A.pdf" TargetMode="External"/><Relationship Id="rId_hyperlink_3735" Type="http://schemas.openxmlformats.org/officeDocument/2006/relationships/hyperlink" Target="https://www.diodes.com/part/view/ZVN4306AV" TargetMode="External"/><Relationship Id="rId_hyperlink_3736" Type="http://schemas.openxmlformats.org/officeDocument/2006/relationships/hyperlink" Target="https://www.diodes.com/assets/Datasheets/ZVN4306AV.pdf" TargetMode="External"/><Relationship Id="rId_hyperlink_3737" Type="http://schemas.openxmlformats.org/officeDocument/2006/relationships/hyperlink" Target="https://www.diodes.com/part/view/ZVN4306G" TargetMode="External"/><Relationship Id="rId_hyperlink_3738" Type="http://schemas.openxmlformats.org/officeDocument/2006/relationships/hyperlink" Target="https://www.diodes.com/assets/Datasheets/ZVN4306G.pdf" TargetMode="External"/><Relationship Id="rId_hyperlink_3739" Type="http://schemas.openxmlformats.org/officeDocument/2006/relationships/hyperlink" Target="https://www.diodes.com/part/view/ZVN4306GV" TargetMode="External"/><Relationship Id="rId_hyperlink_3740" Type="http://schemas.openxmlformats.org/officeDocument/2006/relationships/hyperlink" Target="https://www.diodes.com/assets/Datasheets/ZVN4306GV.pdf" TargetMode="External"/><Relationship Id="rId_hyperlink_3741" Type="http://schemas.openxmlformats.org/officeDocument/2006/relationships/hyperlink" Target="https://www.diodes.com/part/view/ZVN4310A" TargetMode="External"/><Relationship Id="rId_hyperlink_3742" Type="http://schemas.openxmlformats.org/officeDocument/2006/relationships/hyperlink" Target="https://www.diodes.com/assets/Datasheets/ZVN4310A.pdf" TargetMode="External"/><Relationship Id="rId_hyperlink_3743" Type="http://schemas.openxmlformats.org/officeDocument/2006/relationships/hyperlink" Target="https://www.diodes.com/part/view/ZVN4310G" TargetMode="External"/><Relationship Id="rId_hyperlink_3744" Type="http://schemas.openxmlformats.org/officeDocument/2006/relationships/hyperlink" Target="https://www.diodes.com/assets/Datasheets/ZVN4310G.pdf" TargetMode="External"/><Relationship Id="rId_hyperlink_3745" Type="http://schemas.openxmlformats.org/officeDocument/2006/relationships/hyperlink" Target="https://www.diodes.com/part/view/ZVN4424A" TargetMode="External"/><Relationship Id="rId_hyperlink_3746" Type="http://schemas.openxmlformats.org/officeDocument/2006/relationships/hyperlink" Target="https://www.diodes.com/assets/Datasheets/ZVN4424A.pdf" TargetMode="External"/><Relationship Id="rId_hyperlink_3747" Type="http://schemas.openxmlformats.org/officeDocument/2006/relationships/hyperlink" Target="https://www.diodes.com/part/view/ZVN4424G" TargetMode="External"/><Relationship Id="rId_hyperlink_3748" Type="http://schemas.openxmlformats.org/officeDocument/2006/relationships/hyperlink" Target="https://www.diodes.com/assets/Datasheets/ZVN4424G.pdf" TargetMode="External"/><Relationship Id="rId_hyperlink_3749" Type="http://schemas.openxmlformats.org/officeDocument/2006/relationships/hyperlink" Target="https://www.diodes.com/part/view/ZVN4525E6" TargetMode="External"/><Relationship Id="rId_hyperlink_3750" Type="http://schemas.openxmlformats.org/officeDocument/2006/relationships/hyperlink" Target="https://www.diodes.com/assets/Datasheets/products_inactive_data/ZVN4525E6.pdf" TargetMode="External"/><Relationship Id="rId_hyperlink_3751" Type="http://schemas.openxmlformats.org/officeDocument/2006/relationships/hyperlink" Target="https://www.diodes.com/part/view/ZVN4525G" TargetMode="External"/><Relationship Id="rId_hyperlink_3752" Type="http://schemas.openxmlformats.org/officeDocument/2006/relationships/hyperlink" Target="https://www.diodes.com/assets/Datasheets/ZVN4525G.pdf" TargetMode="External"/><Relationship Id="rId_hyperlink_3753" Type="http://schemas.openxmlformats.org/officeDocument/2006/relationships/hyperlink" Target="https://www.diodes.com/part/view/ZVN4525Z" TargetMode="External"/><Relationship Id="rId_hyperlink_3754" Type="http://schemas.openxmlformats.org/officeDocument/2006/relationships/hyperlink" Target="https://www.diodes.com/assets/Datasheets/ZVN4525Z.pdf" TargetMode="External"/><Relationship Id="rId_hyperlink_3755" Type="http://schemas.openxmlformats.org/officeDocument/2006/relationships/hyperlink" Target="https://www.diodes.com/part/view/ZVNL110A" TargetMode="External"/><Relationship Id="rId_hyperlink_3756" Type="http://schemas.openxmlformats.org/officeDocument/2006/relationships/hyperlink" Target="https://www.diodes.com/assets/Datasheets/ZVNL110A.pdf" TargetMode="External"/><Relationship Id="rId_hyperlink_3757" Type="http://schemas.openxmlformats.org/officeDocument/2006/relationships/hyperlink" Target="https://www.diodes.com/part/view/ZVNL110G" TargetMode="External"/><Relationship Id="rId_hyperlink_3758" Type="http://schemas.openxmlformats.org/officeDocument/2006/relationships/hyperlink" Target="https://www.diodes.com/assets/Datasheets/ZVNL110G.pdf" TargetMode="External"/><Relationship Id="rId_hyperlink_3759" Type="http://schemas.openxmlformats.org/officeDocument/2006/relationships/hyperlink" Target="https://www.diodes.com/part/view/ZVNL120A" TargetMode="External"/><Relationship Id="rId_hyperlink_3760" Type="http://schemas.openxmlformats.org/officeDocument/2006/relationships/hyperlink" Target="https://www.diodes.com/assets/Datasheets/ZVNL120A.pdf" TargetMode="External"/><Relationship Id="rId_hyperlink_3761" Type="http://schemas.openxmlformats.org/officeDocument/2006/relationships/hyperlink" Target="https://www.diodes.com/part/view/ZVNL120G" TargetMode="External"/><Relationship Id="rId_hyperlink_3762" Type="http://schemas.openxmlformats.org/officeDocument/2006/relationships/hyperlink" Target="https://www.diodes.com/assets/Datasheets/ZVNL120G.pdf" TargetMode="External"/><Relationship Id="rId_hyperlink_3763" Type="http://schemas.openxmlformats.org/officeDocument/2006/relationships/hyperlink" Target="https://www.diodes.com/part/view/ZVP0545A" TargetMode="External"/><Relationship Id="rId_hyperlink_3764" Type="http://schemas.openxmlformats.org/officeDocument/2006/relationships/hyperlink" Target="https://www.diodes.com/assets/Datasheets/ZVP0545A.pdf" TargetMode="External"/><Relationship Id="rId_hyperlink_3765" Type="http://schemas.openxmlformats.org/officeDocument/2006/relationships/hyperlink" Target="https://www.diodes.com/part/view/ZVP0545G" TargetMode="External"/><Relationship Id="rId_hyperlink_3766" Type="http://schemas.openxmlformats.org/officeDocument/2006/relationships/hyperlink" Target="https://www.diodes.com/assets/Datasheets/ZVP0545G.pdf" TargetMode="External"/><Relationship Id="rId_hyperlink_3767" Type="http://schemas.openxmlformats.org/officeDocument/2006/relationships/hyperlink" Target="https://www.diodes.com/part/view/ZVP1320F" TargetMode="External"/><Relationship Id="rId_hyperlink_3768" Type="http://schemas.openxmlformats.org/officeDocument/2006/relationships/hyperlink" Target="https://www.diodes.com/assets/Datasheets/ZVP1320F.pdf" TargetMode="External"/><Relationship Id="rId_hyperlink_3769" Type="http://schemas.openxmlformats.org/officeDocument/2006/relationships/hyperlink" Target="https://www.diodes.com/part/view/ZVP1320FQ" TargetMode="External"/><Relationship Id="rId_hyperlink_3770" Type="http://schemas.openxmlformats.org/officeDocument/2006/relationships/hyperlink" Target="https://www.diodes.com/assets/Datasheets/ZVP1320FQ.pdf" TargetMode="External"/><Relationship Id="rId_hyperlink_3771" Type="http://schemas.openxmlformats.org/officeDocument/2006/relationships/hyperlink" Target="https://www.diodes.com/part/view/ZVP2106A" TargetMode="External"/><Relationship Id="rId_hyperlink_3772" Type="http://schemas.openxmlformats.org/officeDocument/2006/relationships/hyperlink" Target="https://www.diodes.com/assets/Datasheets/ZVP2106A.pdf" TargetMode="External"/><Relationship Id="rId_hyperlink_3773" Type="http://schemas.openxmlformats.org/officeDocument/2006/relationships/hyperlink" Target="https://www.diodes.com/part/view/ZVP2106G" TargetMode="External"/><Relationship Id="rId_hyperlink_3774" Type="http://schemas.openxmlformats.org/officeDocument/2006/relationships/hyperlink" Target="https://www.diodes.com/assets/Datasheets/ZVP2106G.pdf" TargetMode="External"/><Relationship Id="rId_hyperlink_3775" Type="http://schemas.openxmlformats.org/officeDocument/2006/relationships/hyperlink" Target="https://www.diodes.com/part/view/ZVP2110A" TargetMode="External"/><Relationship Id="rId_hyperlink_3776" Type="http://schemas.openxmlformats.org/officeDocument/2006/relationships/hyperlink" Target="https://www.diodes.com/assets/Datasheets/ZVP2110A.pdf" TargetMode="External"/><Relationship Id="rId_hyperlink_3777" Type="http://schemas.openxmlformats.org/officeDocument/2006/relationships/hyperlink" Target="https://www.diodes.com/part/view/ZVP2110G" TargetMode="External"/><Relationship Id="rId_hyperlink_3778" Type="http://schemas.openxmlformats.org/officeDocument/2006/relationships/hyperlink" Target="https://www.diodes.com/assets/Datasheets/ZVP2110G.pdf" TargetMode="External"/><Relationship Id="rId_hyperlink_3779" Type="http://schemas.openxmlformats.org/officeDocument/2006/relationships/hyperlink" Target="https://www.diodes.com/part/view/ZVP2120A" TargetMode="External"/><Relationship Id="rId_hyperlink_3780" Type="http://schemas.openxmlformats.org/officeDocument/2006/relationships/hyperlink" Target="https://www.diodes.com/assets/Datasheets/ZVP2120A.pdf" TargetMode="External"/><Relationship Id="rId_hyperlink_3781" Type="http://schemas.openxmlformats.org/officeDocument/2006/relationships/hyperlink" Target="https://www.diodes.com/part/view/ZVP2120G" TargetMode="External"/><Relationship Id="rId_hyperlink_3782" Type="http://schemas.openxmlformats.org/officeDocument/2006/relationships/hyperlink" Target="https://www.diodes.com/assets/Datasheets/ZVP2120G.pdf" TargetMode="External"/><Relationship Id="rId_hyperlink_3783" Type="http://schemas.openxmlformats.org/officeDocument/2006/relationships/hyperlink" Target="https://www.diodes.com/part/view/ZVP3306A" TargetMode="External"/><Relationship Id="rId_hyperlink_3784" Type="http://schemas.openxmlformats.org/officeDocument/2006/relationships/hyperlink" Target="https://www.diodes.com/assets/Datasheets/ZVP3306A.pdf" TargetMode="External"/><Relationship Id="rId_hyperlink_3785" Type="http://schemas.openxmlformats.org/officeDocument/2006/relationships/hyperlink" Target="https://www.diodes.com/part/view/ZVP3306F" TargetMode="External"/><Relationship Id="rId_hyperlink_3786" Type="http://schemas.openxmlformats.org/officeDocument/2006/relationships/hyperlink" Target="https://www.diodes.com/assets/Datasheets/ZVP3306F.pdf" TargetMode="External"/><Relationship Id="rId_hyperlink_3787" Type="http://schemas.openxmlformats.org/officeDocument/2006/relationships/hyperlink" Target="https://www.diodes.com/part/view/ZVP3310A" TargetMode="External"/><Relationship Id="rId_hyperlink_3788" Type="http://schemas.openxmlformats.org/officeDocument/2006/relationships/hyperlink" Target="https://www.diodes.com/assets/Datasheets/ZVP3310A.pdf" TargetMode="External"/><Relationship Id="rId_hyperlink_3789" Type="http://schemas.openxmlformats.org/officeDocument/2006/relationships/hyperlink" Target="https://www.diodes.com/part/view/ZVP3310F" TargetMode="External"/><Relationship Id="rId_hyperlink_3790" Type="http://schemas.openxmlformats.org/officeDocument/2006/relationships/hyperlink" Target="https://www.diodes.com/assets/Datasheets/ZVP3310F.pdf" TargetMode="External"/><Relationship Id="rId_hyperlink_3791" Type="http://schemas.openxmlformats.org/officeDocument/2006/relationships/hyperlink" Target="https://www.diodes.com/part/view/ZVP3310FQ" TargetMode="External"/><Relationship Id="rId_hyperlink_3792" Type="http://schemas.openxmlformats.org/officeDocument/2006/relationships/hyperlink" Target="https://www.diodes.com/assets/Datasheets/ZVP3310FQ.pdf" TargetMode="External"/><Relationship Id="rId_hyperlink_3793" Type="http://schemas.openxmlformats.org/officeDocument/2006/relationships/hyperlink" Target="https://www.diodes.com/part/view/ZVP4424A" TargetMode="External"/><Relationship Id="rId_hyperlink_3794" Type="http://schemas.openxmlformats.org/officeDocument/2006/relationships/hyperlink" Target="https://www.diodes.com/assets/Datasheets/ZVP4424A.pdf" TargetMode="External"/><Relationship Id="rId_hyperlink_3795" Type="http://schemas.openxmlformats.org/officeDocument/2006/relationships/hyperlink" Target="https://www.diodes.com/part/view/ZVP4424G" TargetMode="External"/><Relationship Id="rId_hyperlink_3796" Type="http://schemas.openxmlformats.org/officeDocument/2006/relationships/hyperlink" Target="https://www.diodes.com/assets/Datasheets/ZVP4424G.pdf" TargetMode="External"/><Relationship Id="rId_hyperlink_3797" Type="http://schemas.openxmlformats.org/officeDocument/2006/relationships/hyperlink" Target="https://www.diodes.com/part/view/ZVP4424Z" TargetMode="External"/><Relationship Id="rId_hyperlink_3798" Type="http://schemas.openxmlformats.org/officeDocument/2006/relationships/hyperlink" Target="https://www.diodes.com/assets/Datasheets/ZVP4424Z.pdf" TargetMode="External"/><Relationship Id="rId_hyperlink_3799" Type="http://schemas.openxmlformats.org/officeDocument/2006/relationships/hyperlink" Target="https://www.diodes.com/part/view/ZVP4525E6" TargetMode="External"/><Relationship Id="rId_hyperlink_3800" Type="http://schemas.openxmlformats.org/officeDocument/2006/relationships/hyperlink" Target="https://www.diodes.com/assets/Datasheets/ZVP4525E6.pdf" TargetMode="External"/><Relationship Id="rId_hyperlink_3801" Type="http://schemas.openxmlformats.org/officeDocument/2006/relationships/hyperlink" Target="https://www.diodes.com/part/view/ZVP4525G" TargetMode="External"/><Relationship Id="rId_hyperlink_3802" Type="http://schemas.openxmlformats.org/officeDocument/2006/relationships/hyperlink" Target="https://www.diodes.com/assets/Datasheets/ZVP4525G.pdf" TargetMode="External"/><Relationship Id="rId_hyperlink_3803" Type="http://schemas.openxmlformats.org/officeDocument/2006/relationships/hyperlink" Target="https://www.diodes.com/part/view/ZVP4525GQ" TargetMode="External"/><Relationship Id="rId_hyperlink_3804" Type="http://schemas.openxmlformats.org/officeDocument/2006/relationships/hyperlink" Target="https://www.diodes.com/assets/Datasheets/ZVP4525GQ.pdf" TargetMode="External"/><Relationship Id="rId_hyperlink_3805" Type="http://schemas.openxmlformats.org/officeDocument/2006/relationships/hyperlink" Target="https://www.diodes.com/part/view/ZVP4525Z" TargetMode="External"/><Relationship Id="rId_hyperlink_3806" Type="http://schemas.openxmlformats.org/officeDocument/2006/relationships/hyperlink" Target="https://www.diodes.com/assets/Datasheets/ZVP4525Z.pdf" TargetMode="External"/><Relationship Id="rId_hyperlink_3807" Type="http://schemas.openxmlformats.org/officeDocument/2006/relationships/hyperlink" Target="https://www.diodes.com/part/view/ZXM61N02F" TargetMode="External"/><Relationship Id="rId_hyperlink_3808" Type="http://schemas.openxmlformats.org/officeDocument/2006/relationships/hyperlink" Target="https://www.diodes.com/assets/Datasheets/ZXM61N02F.pdf" TargetMode="External"/><Relationship Id="rId_hyperlink_3809" Type="http://schemas.openxmlformats.org/officeDocument/2006/relationships/hyperlink" Target="https://www.diodes.com/part/view/ZXM61N03F" TargetMode="External"/><Relationship Id="rId_hyperlink_3810" Type="http://schemas.openxmlformats.org/officeDocument/2006/relationships/hyperlink" Target="https://www.diodes.com/assets/Datasheets/ZXM61N03F.pdf" TargetMode="External"/><Relationship Id="rId_hyperlink_3811" Type="http://schemas.openxmlformats.org/officeDocument/2006/relationships/hyperlink" Target="https://www.diodes.com/part/view/ZXM61P02F" TargetMode="External"/><Relationship Id="rId_hyperlink_3812" Type="http://schemas.openxmlformats.org/officeDocument/2006/relationships/hyperlink" Target="https://www.diodes.com/assets/Datasheets/ZXM61P02F.pdf" TargetMode="External"/><Relationship Id="rId_hyperlink_3813" Type="http://schemas.openxmlformats.org/officeDocument/2006/relationships/hyperlink" Target="https://www.diodes.com/part/view/ZXM61P03F" TargetMode="External"/><Relationship Id="rId_hyperlink_3814" Type="http://schemas.openxmlformats.org/officeDocument/2006/relationships/hyperlink" Target="https://www.diodes.com/assets/Datasheets/ZXM61P03F.pdf" TargetMode="External"/><Relationship Id="rId_hyperlink_3815" Type="http://schemas.openxmlformats.org/officeDocument/2006/relationships/hyperlink" Target="https://www.diodes.com/part/view/ZXM62P02E6" TargetMode="External"/><Relationship Id="rId_hyperlink_3816" Type="http://schemas.openxmlformats.org/officeDocument/2006/relationships/hyperlink" Target="https://www.diodes.com/assets/Datasheets/ZXM62P02E6.pdf" TargetMode="External"/><Relationship Id="rId_hyperlink_3817" Type="http://schemas.openxmlformats.org/officeDocument/2006/relationships/hyperlink" Target="https://www.diodes.com/part/view/ZXM62P03E6" TargetMode="External"/><Relationship Id="rId_hyperlink_3818" Type="http://schemas.openxmlformats.org/officeDocument/2006/relationships/hyperlink" Target="https://www.diodes.com/assets/Datasheets/ZXM62P03E6.pdf" TargetMode="External"/><Relationship Id="rId_hyperlink_3819" Type="http://schemas.openxmlformats.org/officeDocument/2006/relationships/hyperlink" Target="https://www.diodes.com/part/view/ZXM64P02X" TargetMode="External"/><Relationship Id="rId_hyperlink_3820" Type="http://schemas.openxmlformats.org/officeDocument/2006/relationships/hyperlink" Target="https://www.diodes.com/assets/Datasheets/ZXM64P02X.pdf" TargetMode="External"/><Relationship Id="rId_hyperlink_3821" Type="http://schemas.openxmlformats.org/officeDocument/2006/relationships/hyperlink" Target="https://www.diodes.com/part/view/ZXM64P03X" TargetMode="External"/><Relationship Id="rId_hyperlink_3822" Type="http://schemas.openxmlformats.org/officeDocument/2006/relationships/hyperlink" Target="https://www.diodes.com/assets/Datasheets/ZXM64P03X.pdf" TargetMode="External"/><Relationship Id="rId_hyperlink_3823" Type="http://schemas.openxmlformats.org/officeDocument/2006/relationships/hyperlink" Target="https://www.diodes.com/part/view/ZXMC3A16DN8" TargetMode="External"/><Relationship Id="rId_hyperlink_3824" Type="http://schemas.openxmlformats.org/officeDocument/2006/relationships/hyperlink" Target="https://www.diodes.com/assets/Datasheets/ZXMC3A16DN8.pdf" TargetMode="External"/><Relationship Id="rId_hyperlink_3825" Type="http://schemas.openxmlformats.org/officeDocument/2006/relationships/hyperlink" Target="https://www.diodes.com/part/view/ZXMC3A16DN8Q" TargetMode="External"/><Relationship Id="rId_hyperlink_3826" Type="http://schemas.openxmlformats.org/officeDocument/2006/relationships/hyperlink" Target="https://www.diodes.com/assets/Datasheets/ZXMC3A16DN8Q.pdf" TargetMode="External"/><Relationship Id="rId_hyperlink_3827" Type="http://schemas.openxmlformats.org/officeDocument/2006/relationships/hyperlink" Target="https://www.diodes.com/part/view/ZXMC3A17DN8" TargetMode="External"/><Relationship Id="rId_hyperlink_3828" Type="http://schemas.openxmlformats.org/officeDocument/2006/relationships/hyperlink" Target="https://www.diodes.com/assets/Datasheets/ZXMC3A17DN8.pdf" TargetMode="External"/><Relationship Id="rId_hyperlink_3829" Type="http://schemas.openxmlformats.org/officeDocument/2006/relationships/hyperlink" Target="https://www.diodes.com/part/view/ZXMC3A18DN8" TargetMode="External"/><Relationship Id="rId_hyperlink_3830" Type="http://schemas.openxmlformats.org/officeDocument/2006/relationships/hyperlink" Target="https://www.diodes.com/assets/Datasheets/ZXMC3A18DN8.pdf" TargetMode="External"/><Relationship Id="rId_hyperlink_3831" Type="http://schemas.openxmlformats.org/officeDocument/2006/relationships/hyperlink" Target="https://www.diodes.com/part/view/ZXMC3AMC" TargetMode="External"/><Relationship Id="rId_hyperlink_3832" Type="http://schemas.openxmlformats.org/officeDocument/2006/relationships/hyperlink" Target="https://www.diodes.com/assets/Datasheets/ZXMC3AMC.pdf" TargetMode="External"/><Relationship Id="rId_hyperlink_3833" Type="http://schemas.openxmlformats.org/officeDocument/2006/relationships/hyperlink" Target="https://www.diodes.com/part/view/ZXMC3F31DN8" TargetMode="External"/><Relationship Id="rId_hyperlink_3834" Type="http://schemas.openxmlformats.org/officeDocument/2006/relationships/hyperlink" Target="https://www.diodes.com/assets/Datasheets/ZXMC3F31DN8.pdf" TargetMode="External"/><Relationship Id="rId_hyperlink_3835" Type="http://schemas.openxmlformats.org/officeDocument/2006/relationships/hyperlink" Target="https://www.diodes.com/part/view/ZXMC4559DN8" TargetMode="External"/><Relationship Id="rId_hyperlink_3836" Type="http://schemas.openxmlformats.org/officeDocument/2006/relationships/hyperlink" Target="https://www.diodes.com/assets/Datasheets/ZXMC4559DN8.pdf" TargetMode="External"/><Relationship Id="rId_hyperlink_3837" Type="http://schemas.openxmlformats.org/officeDocument/2006/relationships/hyperlink" Target="https://www.diodes.com/part/view/ZXMC4A16DN8" TargetMode="External"/><Relationship Id="rId_hyperlink_3838" Type="http://schemas.openxmlformats.org/officeDocument/2006/relationships/hyperlink" Target="https://www.diodes.com/assets/Datasheets/ZXMC4A16DN8.pdf" TargetMode="External"/><Relationship Id="rId_hyperlink_3839" Type="http://schemas.openxmlformats.org/officeDocument/2006/relationships/hyperlink" Target="https://www.diodes.com/part/view/ZXMC6A09DN8" TargetMode="External"/><Relationship Id="rId_hyperlink_3840" Type="http://schemas.openxmlformats.org/officeDocument/2006/relationships/hyperlink" Target="https://www.diodes.com/assets/Datasheets/ZXMC6A09DN8.pdf" TargetMode="External"/><Relationship Id="rId_hyperlink_3841" Type="http://schemas.openxmlformats.org/officeDocument/2006/relationships/hyperlink" Target="https://www.diodes.com/part/view/ZXMD63N03X" TargetMode="External"/><Relationship Id="rId_hyperlink_3842" Type="http://schemas.openxmlformats.org/officeDocument/2006/relationships/hyperlink" Target="https://www.diodes.com/assets/Datasheets/ZXMD63N03X.pdf" TargetMode="External"/><Relationship Id="rId_hyperlink_3843" Type="http://schemas.openxmlformats.org/officeDocument/2006/relationships/hyperlink" Target="https://www.diodes.com/part/view/ZXMHC10A07N8" TargetMode="External"/><Relationship Id="rId_hyperlink_3844" Type="http://schemas.openxmlformats.org/officeDocument/2006/relationships/hyperlink" Target="https://www.diodes.com/assets/Datasheets/ZXMHC10A07N8.pdf" TargetMode="External"/><Relationship Id="rId_hyperlink_3845" Type="http://schemas.openxmlformats.org/officeDocument/2006/relationships/hyperlink" Target="https://www.diodes.com/part/view/ZXMHC10A07T8" TargetMode="External"/><Relationship Id="rId_hyperlink_3846" Type="http://schemas.openxmlformats.org/officeDocument/2006/relationships/hyperlink" Target="https://www.diodes.com/assets/Datasheets/ZXMHC10A07T8.pdf" TargetMode="External"/><Relationship Id="rId_hyperlink_3847" Type="http://schemas.openxmlformats.org/officeDocument/2006/relationships/hyperlink" Target="https://www.diodes.com/part/view/ZXMHC3A01N8" TargetMode="External"/><Relationship Id="rId_hyperlink_3848" Type="http://schemas.openxmlformats.org/officeDocument/2006/relationships/hyperlink" Target="https://www.diodes.com/assets/Datasheets/ZXMHC3A01N8.pdf" TargetMode="External"/><Relationship Id="rId_hyperlink_3849" Type="http://schemas.openxmlformats.org/officeDocument/2006/relationships/hyperlink" Target="https://www.diodes.com/part/view/ZXMHC3A01T8" TargetMode="External"/><Relationship Id="rId_hyperlink_3850" Type="http://schemas.openxmlformats.org/officeDocument/2006/relationships/hyperlink" Target="https://www.diodes.com/assets/Datasheets/ZXMHC3A01T8.pdf" TargetMode="External"/><Relationship Id="rId_hyperlink_3851" Type="http://schemas.openxmlformats.org/officeDocument/2006/relationships/hyperlink" Target="https://www.diodes.com/part/view/ZXMHC3F381N8" TargetMode="External"/><Relationship Id="rId_hyperlink_3852" Type="http://schemas.openxmlformats.org/officeDocument/2006/relationships/hyperlink" Target="https://www.diodes.com/assets/Datasheets/ZXMHC3F381N8.pdf" TargetMode="External"/><Relationship Id="rId_hyperlink_3853" Type="http://schemas.openxmlformats.org/officeDocument/2006/relationships/hyperlink" Target="https://www.diodes.com/part/view/ZXMHC6A07N8" TargetMode="External"/><Relationship Id="rId_hyperlink_3854" Type="http://schemas.openxmlformats.org/officeDocument/2006/relationships/hyperlink" Target="https://www.diodes.com/assets/Datasheets/ZXMHC6A07N8.pdf" TargetMode="External"/><Relationship Id="rId_hyperlink_3855" Type="http://schemas.openxmlformats.org/officeDocument/2006/relationships/hyperlink" Target="https://www.diodes.com/part/view/ZXMHC6A07T8" TargetMode="External"/><Relationship Id="rId_hyperlink_3856" Type="http://schemas.openxmlformats.org/officeDocument/2006/relationships/hyperlink" Target="https://www.diodes.com/assets/Datasheets/ZXMHC6A07T8.pdf" TargetMode="External"/><Relationship Id="rId_hyperlink_3857" Type="http://schemas.openxmlformats.org/officeDocument/2006/relationships/hyperlink" Target="https://www.diodes.com/part/view/ZXMHN6A07T8" TargetMode="External"/><Relationship Id="rId_hyperlink_3858" Type="http://schemas.openxmlformats.org/officeDocument/2006/relationships/hyperlink" Target="https://www.diodes.com/assets/Datasheets/ZXMHN6A07T8.pdf" TargetMode="External"/><Relationship Id="rId_hyperlink_3859" Type="http://schemas.openxmlformats.org/officeDocument/2006/relationships/hyperlink" Target="https://www.diodes.com/part/view/ZXMN10A07F" TargetMode="External"/><Relationship Id="rId_hyperlink_3860" Type="http://schemas.openxmlformats.org/officeDocument/2006/relationships/hyperlink" Target="https://www.diodes.com/assets/Datasheets/ZXMN10A07F.pdf" TargetMode="External"/><Relationship Id="rId_hyperlink_3861" Type="http://schemas.openxmlformats.org/officeDocument/2006/relationships/hyperlink" Target="https://www.diodes.com/part/view/ZXMN10A07Z" TargetMode="External"/><Relationship Id="rId_hyperlink_3862" Type="http://schemas.openxmlformats.org/officeDocument/2006/relationships/hyperlink" Target="https://www.diodes.com/assets/Datasheets/ZXMN10A07Z.pdf" TargetMode="External"/><Relationship Id="rId_hyperlink_3863" Type="http://schemas.openxmlformats.org/officeDocument/2006/relationships/hyperlink" Target="https://www.diodes.com/part/view/ZXMN10A08DN8" TargetMode="External"/><Relationship Id="rId_hyperlink_3864" Type="http://schemas.openxmlformats.org/officeDocument/2006/relationships/hyperlink" Target="https://www.diodes.com/assets/Datasheets/ZXMN10A08DN8.pdf" TargetMode="External"/><Relationship Id="rId_hyperlink_3865" Type="http://schemas.openxmlformats.org/officeDocument/2006/relationships/hyperlink" Target="https://www.diodes.com/part/view/ZXMN10A08E6" TargetMode="External"/><Relationship Id="rId_hyperlink_3866" Type="http://schemas.openxmlformats.org/officeDocument/2006/relationships/hyperlink" Target="https://www.diodes.com/assets/Datasheets/ZXMN10A08E6.pdf" TargetMode="External"/><Relationship Id="rId_hyperlink_3867" Type="http://schemas.openxmlformats.org/officeDocument/2006/relationships/hyperlink" Target="https://www.diodes.com/part/view/ZXMN10A08G" TargetMode="External"/><Relationship Id="rId_hyperlink_3868" Type="http://schemas.openxmlformats.org/officeDocument/2006/relationships/hyperlink" Target="https://www.diodes.com/assets/Datasheets/ZXMN10A08G.pdf" TargetMode="External"/><Relationship Id="rId_hyperlink_3869" Type="http://schemas.openxmlformats.org/officeDocument/2006/relationships/hyperlink" Target="https://www.diodes.com/part/view/ZXMN10A09K" TargetMode="External"/><Relationship Id="rId_hyperlink_3870" Type="http://schemas.openxmlformats.org/officeDocument/2006/relationships/hyperlink" Target="https://www.diodes.com/assets/Datasheets/ZXMN10A09K.pdf" TargetMode="External"/><Relationship Id="rId_hyperlink_3871" Type="http://schemas.openxmlformats.org/officeDocument/2006/relationships/hyperlink" Target="https://www.diodes.com/part/view/ZXMN10A11G" TargetMode="External"/><Relationship Id="rId_hyperlink_3872" Type="http://schemas.openxmlformats.org/officeDocument/2006/relationships/hyperlink" Target="https://www.diodes.com/assets/Datasheets/ZXMN10A11G.pdf" TargetMode="External"/><Relationship Id="rId_hyperlink_3873" Type="http://schemas.openxmlformats.org/officeDocument/2006/relationships/hyperlink" Target="https://www.diodes.com/part/view/ZXMN10A11K" TargetMode="External"/><Relationship Id="rId_hyperlink_3874" Type="http://schemas.openxmlformats.org/officeDocument/2006/relationships/hyperlink" Target="https://www.diodes.com/assets/Datasheets/ZXMN10A11K.pdf" TargetMode="External"/><Relationship Id="rId_hyperlink_3875" Type="http://schemas.openxmlformats.org/officeDocument/2006/relationships/hyperlink" Target="https://www.diodes.com/part/view/ZXMN10A25G" TargetMode="External"/><Relationship Id="rId_hyperlink_3876" Type="http://schemas.openxmlformats.org/officeDocument/2006/relationships/hyperlink" Target="https://www.diodes.com/assets/Datasheets/ZXMN10A25G.pdf" TargetMode="External"/><Relationship Id="rId_hyperlink_3877" Type="http://schemas.openxmlformats.org/officeDocument/2006/relationships/hyperlink" Target="https://www.diodes.com/part/view/ZXMN10A25K" TargetMode="External"/><Relationship Id="rId_hyperlink_3878" Type="http://schemas.openxmlformats.org/officeDocument/2006/relationships/hyperlink" Target="https://www.diodes.com/assets/Datasheets/ZXMN10A25K.pdf" TargetMode="External"/><Relationship Id="rId_hyperlink_3879" Type="http://schemas.openxmlformats.org/officeDocument/2006/relationships/hyperlink" Target="https://www.diodes.com/part/view/ZXMN10B08E6" TargetMode="External"/><Relationship Id="rId_hyperlink_3880" Type="http://schemas.openxmlformats.org/officeDocument/2006/relationships/hyperlink" Target="https://www.diodes.com/assets/Datasheets/ZXMN10B08E6.pdf" TargetMode="External"/><Relationship Id="rId_hyperlink_3881" Type="http://schemas.openxmlformats.org/officeDocument/2006/relationships/hyperlink" Target="https://www.diodes.com/part/view/ZXMN15A27K" TargetMode="External"/><Relationship Id="rId_hyperlink_3882" Type="http://schemas.openxmlformats.org/officeDocument/2006/relationships/hyperlink" Target="https://www.diodes.com/assets/Datasheets/ZXMN15A27K.pdf" TargetMode="External"/><Relationship Id="rId_hyperlink_3883" Type="http://schemas.openxmlformats.org/officeDocument/2006/relationships/hyperlink" Target="https://www.diodes.com/part/view/ZXMN20B28K" TargetMode="External"/><Relationship Id="rId_hyperlink_3884" Type="http://schemas.openxmlformats.org/officeDocument/2006/relationships/hyperlink" Target="https://www.diodes.com/assets/Datasheets/ZXMN20B28K.pdf" TargetMode="External"/><Relationship Id="rId_hyperlink_3885" Type="http://schemas.openxmlformats.org/officeDocument/2006/relationships/hyperlink" Target="https://www.diodes.com/part/view/ZXMN2A01E6" TargetMode="External"/><Relationship Id="rId_hyperlink_3886" Type="http://schemas.openxmlformats.org/officeDocument/2006/relationships/hyperlink" Target="https://www.diodes.com/assets/Datasheets/ZXMN2A01E6.pdf" TargetMode="External"/><Relationship Id="rId_hyperlink_3887" Type="http://schemas.openxmlformats.org/officeDocument/2006/relationships/hyperlink" Target="https://www.diodes.com/part/view/ZXMN2A01F" TargetMode="External"/><Relationship Id="rId_hyperlink_3888" Type="http://schemas.openxmlformats.org/officeDocument/2006/relationships/hyperlink" Target="https://www.diodes.com/assets/Datasheets/ZXMN2A01F.pdf" TargetMode="External"/><Relationship Id="rId_hyperlink_3889" Type="http://schemas.openxmlformats.org/officeDocument/2006/relationships/hyperlink" Target="https://www.diodes.com/part/view/ZXMN2A02N8" TargetMode="External"/><Relationship Id="rId_hyperlink_3890" Type="http://schemas.openxmlformats.org/officeDocument/2006/relationships/hyperlink" Target="https://www.diodes.com/assets/Datasheets/ZXMN2A02N8.pdf" TargetMode="External"/><Relationship Id="rId_hyperlink_3891" Type="http://schemas.openxmlformats.org/officeDocument/2006/relationships/hyperlink" Target="https://www.diodes.com/part/view/ZXMN2A03E6" TargetMode="External"/><Relationship Id="rId_hyperlink_3892" Type="http://schemas.openxmlformats.org/officeDocument/2006/relationships/hyperlink" Target="https://www.diodes.com/assets/Datasheets/ZXMN2A03E6.pdf" TargetMode="External"/><Relationship Id="rId_hyperlink_3893" Type="http://schemas.openxmlformats.org/officeDocument/2006/relationships/hyperlink" Target="https://www.diodes.com/part/view/ZXMN2A04DN8" TargetMode="External"/><Relationship Id="rId_hyperlink_3894" Type="http://schemas.openxmlformats.org/officeDocument/2006/relationships/hyperlink" Target="https://www.diodes.com/assets/Datasheets/ZXMN2A04DN8.pdf" TargetMode="External"/><Relationship Id="rId_hyperlink_3895" Type="http://schemas.openxmlformats.org/officeDocument/2006/relationships/hyperlink" Target="https://www.diodes.com/part/view/ZXMN2A14F" TargetMode="External"/><Relationship Id="rId_hyperlink_3896" Type="http://schemas.openxmlformats.org/officeDocument/2006/relationships/hyperlink" Target="https://www.diodes.com/assets/Datasheets/ZXMN2A14F.pdf" TargetMode="External"/><Relationship Id="rId_hyperlink_3897" Type="http://schemas.openxmlformats.org/officeDocument/2006/relationships/hyperlink" Target="https://www.diodes.com/part/view/ZXMN2AMC" TargetMode="External"/><Relationship Id="rId_hyperlink_3898" Type="http://schemas.openxmlformats.org/officeDocument/2006/relationships/hyperlink" Target="https://www.diodes.com/assets/Datasheets/ZXMN2AMC.pdf" TargetMode="External"/><Relationship Id="rId_hyperlink_3899" Type="http://schemas.openxmlformats.org/officeDocument/2006/relationships/hyperlink" Target="https://www.diodes.com/part/view/ZXMN2B01F" TargetMode="External"/><Relationship Id="rId_hyperlink_3900" Type="http://schemas.openxmlformats.org/officeDocument/2006/relationships/hyperlink" Target="https://www.diodes.com/assets/Datasheets/ZXMN2B01F.pdf" TargetMode="External"/><Relationship Id="rId_hyperlink_3901" Type="http://schemas.openxmlformats.org/officeDocument/2006/relationships/hyperlink" Target="https://www.diodes.com/part/view/ZXMN2B03E6" TargetMode="External"/><Relationship Id="rId_hyperlink_3902" Type="http://schemas.openxmlformats.org/officeDocument/2006/relationships/hyperlink" Target="https://www.diodes.com/assets/Datasheets/ZXMN2B03E6.pdf" TargetMode="External"/><Relationship Id="rId_hyperlink_3903" Type="http://schemas.openxmlformats.org/officeDocument/2006/relationships/hyperlink" Target="https://www.diodes.com/part/view/ZXMN2B14FH" TargetMode="External"/><Relationship Id="rId_hyperlink_3904" Type="http://schemas.openxmlformats.org/officeDocument/2006/relationships/hyperlink" Target="https://www.diodes.com/assets/Datasheets/ZXMN2B14FH.pdf" TargetMode="External"/><Relationship Id="rId_hyperlink_3905" Type="http://schemas.openxmlformats.org/officeDocument/2006/relationships/hyperlink" Target="https://www.diodes.com/part/view/ZXMN2F30FH" TargetMode="External"/><Relationship Id="rId_hyperlink_3906" Type="http://schemas.openxmlformats.org/officeDocument/2006/relationships/hyperlink" Target="https://www.diodes.com/assets/Datasheets/ZXMN2F30FH.pdf" TargetMode="External"/><Relationship Id="rId_hyperlink_3907" Type="http://schemas.openxmlformats.org/officeDocument/2006/relationships/hyperlink" Target="https://www.diodes.com/part/view/ZXMN2F34FH" TargetMode="External"/><Relationship Id="rId_hyperlink_3908" Type="http://schemas.openxmlformats.org/officeDocument/2006/relationships/hyperlink" Target="https://www.diodes.com/assets/Datasheets/ZXMN2F34FH.pdf" TargetMode="External"/><Relationship Id="rId_hyperlink_3909" Type="http://schemas.openxmlformats.org/officeDocument/2006/relationships/hyperlink" Target="https://www.diodes.com/part/view/ZXMN3A01E6" TargetMode="External"/><Relationship Id="rId_hyperlink_3910" Type="http://schemas.openxmlformats.org/officeDocument/2006/relationships/hyperlink" Target="https://www.diodes.com/assets/Datasheets/ZXMN3A01E6.pdf" TargetMode="External"/><Relationship Id="rId_hyperlink_3911" Type="http://schemas.openxmlformats.org/officeDocument/2006/relationships/hyperlink" Target="https://www.diodes.com/part/view/ZXMN3A01F" TargetMode="External"/><Relationship Id="rId_hyperlink_3912" Type="http://schemas.openxmlformats.org/officeDocument/2006/relationships/hyperlink" Target="https://www.diodes.com/assets/Datasheets/ZXMN3A01F.pdf" TargetMode="External"/><Relationship Id="rId_hyperlink_3913" Type="http://schemas.openxmlformats.org/officeDocument/2006/relationships/hyperlink" Target="https://www.diodes.com/part/view/ZXMN3A01Z" TargetMode="External"/><Relationship Id="rId_hyperlink_3914" Type="http://schemas.openxmlformats.org/officeDocument/2006/relationships/hyperlink" Target="https://www.diodes.com/assets/Datasheets/ZXMN3A01Z.pdf" TargetMode="External"/><Relationship Id="rId_hyperlink_3915" Type="http://schemas.openxmlformats.org/officeDocument/2006/relationships/hyperlink" Target="https://www.diodes.com/part/view/ZXMN3A02X8" TargetMode="External"/><Relationship Id="rId_hyperlink_3916" Type="http://schemas.openxmlformats.org/officeDocument/2006/relationships/hyperlink" Target="https://www.diodes.com/assets/Datasheets/ZXMN3A02X8.pdf" TargetMode="External"/><Relationship Id="rId_hyperlink_3917" Type="http://schemas.openxmlformats.org/officeDocument/2006/relationships/hyperlink" Target="https://www.diodes.com/part/view/ZXMN3A03E6" TargetMode="External"/><Relationship Id="rId_hyperlink_3918" Type="http://schemas.openxmlformats.org/officeDocument/2006/relationships/hyperlink" Target="https://www.diodes.com/assets/Datasheets/ZXMN3A03E6.pdf" TargetMode="External"/><Relationship Id="rId_hyperlink_3919" Type="http://schemas.openxmlformats.org/officeDocument/2006/relationships/hyperlink" Target="https://www.diodes.com/part/view/ZXMN3A04DN8" TargetMode="External"/><Relationship Id="rId_hyperlink_3920" Type="http://schemas.openxmlformats.org/officeDocument/2006/relationships/hyperlink" Target="https://www.diodes.com/assets/Datasheets/ZXMN3A04DN8.pdf" TargetMode="External"/><Relationship Id="rId_hyperlink_3921" Type="http://schemas.openxmlformats.org/officeDocument/2006/relationships/hyperlink" Target="https://www.diodes.com/part/view/ZXMN3A04K" TargetMode="External"/><Relationship Id="rId_hyperlink_3922" Type="http://schemas.openxmlformats.org/officeDocument/2006/relationships/hyperlink" Target="https://www.diodes.com/assets/Datasheets/ZXMN3A04K.pdf" TargetMode="External"/><Relationship Id="rId_hyperlink_3923" Type="http://schemas.openxmlformats.org/officeDocument/2006/relationships/hyperlink" Target="https://www.diodes.com/part/view/ZXMN3A06DN8" TargetMode="External"/><Relationship Id="rId_hyperlink_3924" Type="http://schemas.openxmlformats.org/officeDocument/2006/relationships/hyperlink" Target="https://www.diodes.com/assets/Datasheets/ZXMN3A06DN8.pdf" TargetMode="External"/><Relationship Id="rId_hyperlink_3925" Type="http://schemas.openxmlformats.org/officeDocument/2006/relationships/hyperlink" Target="https://www.diodes.com/part/view/ZXMN3A14F" TargetMode="External"/><Relationship Id="rId_hyperlink_3926" Type="http://schemas.openxmlformats.org/officeDocument/2006/relationships/hyperlink" Target="https://www.diodes.com/assets/Datasheets/ZXMN3A14F.pdf" TargetMode="External"/><Relationship Id="rId_hyperlink_3927" Type="http://schemas.openxmlformats.org/officeDocument/2006/relationships/hyperlink" Target="https://www.diodes.com/part/view/ZXMN3A14FQ" TargetMode="External"/><Relationship Id="rId_hyperlink_3928" Type="http://schemas.openxmlformats.org/officeDocument/2006/relationships/hyperlink" Target="https://www.diodes.com/assets/Datasheets/ZXMN3A14FQ.pdf" TargetMode="External"/><Relationship Id="rId_hyperlink_3929" Type="http://schemas.openxmlformats.org/officeDocument/2006/relationships/hyperlink" Target="https://www.diodes.com/part/view/ZXMN3AMC" TargetMode="External"/><Relationship Id="rId_hyperlink_3930" Type="http://schemas.openxmlformats.org/officeDocument/2006/relationships/hyperlink" Target="https://www.diodes.com/assets/Datasheets/ZXMN3AMC.pdf" TargetMode="External"/><Relationship Id="rId_hyperlink_3931" Type="http://schemas.openxmlformats.org/officeDocument/2006/relationships/hyperlink" Target="https://www.diodes.com/part/view/ZXMN3B01F" TargetMode="External"/><Relationship Id="rId_hyperlink_3932" Type="http://schemas.openxmlformats.org/officeDocument/2006/relationships/hyperlink" Target="https://www.diodes.com/assets/Datasheets/ZXMN3B01F.pdf" TargetMode="External"/><Relationship Id="rId_hyperlink_3933" Type="http://schemas.openxmlformats.org/officeDocument/2006/relationships/hyperlink" Target="https://www.diodes.com/part/view/ZXMN3B04N8" TargetMode="External"/><Relationship Id="rId_hyperlink_3934" Type="http://schemas.openxmlformats.org/officeDocument/2006/relationships/hyperlink" Target="https://www.diodes.com/assets/Datasheets/ZXMN3B04N8.pdf" TargetMode="External"/><Relationship Id="rId_hyperlink_3935" Type="http://schemas.openxmlformats.org/officeDocument/2006/relationships/hyperlink" Target="https://www.diodes.com/part/view/ZXMN3B14F" TargetMode="External"/><Relationship Id="rId_hyperlink_3936" Type="http://schemas.openxmlformats.org/officeDocument/2006/relationships/hyperlink" Target="https://www.diodes.com/assets/Datasheets/ZXMN3B14F.pdf" TargetMode="External"/><Relationship Id="rId_hyperlink_3937" Type="http://schemas.openxmlformats.org/officeDocument/2006/relationships/hyperlink" Target="https://www.diodes.com/part/view/ZXMN3F30FH" TargetMode="External"/><Relationship Id="rId_hyperlink_3938" Type="http://schemas.openxmlformats.org/officeDocument/2006/relationships/hyperlink" Target="https://www.diodes.com/assets/Datasheets/ZXMN3F30FH.pdf" TargetMode="External"/><Relationship Id="rId_hyperlink_3939" Type="http://schemas.openxmlformats.org/officeDocument/2006/relationships/hyperlink" Target="https://www.diodes.com/part/view/ZXMN3F31DN8" TargetMode="External"/><Relationship Id="rId_hyperlink_3940" Type="http://schemas.openxmlformats.org/officeDocument/2006/relationships/hyperlink" Target="https://www.diodes.com/assets/Datasheets/ZXMN3F31DN8.pdf" TargetMode="External"/><Relationship Id="rId_hyperlink_3941" Type="http://schemas.openxmlformats.org/officeDocument/2006/relationships/hyperlink" Target="https://www.diodes.com/part/view/ZXMN3G32DN8" TargetMode="External"/><Relationship Id="rId_hyperlink_3942" Type="http://schemas.openxmlformats.org/officeDocument/2006/relationships/hyperlink" Target="https://www.diodes.com/assets/Datasheets/ZXMN3G32DN8.pdf" TargetMode="External"/><Relationship Id="rId_hyperlink_3943" Type="http://schemas.openxmlformats.org/officeDocument/2006/relationships/hyperlink" Target="https://www.diodes.com/part/view/ZXMN4A06G" TargetMode="External"/><Relationship Id="rId_hyperlink_3944" Type="http://schemas.openxmlformats.org/officeDocument/2006/relationships/hyperlink" Target="https://www.diodes.com/assets/Datasheets/ZXMN4A06G.pdf" TargetMode="External"/><Relationship Id="rId_hyperlink_3945" Type="http://schemas.openxmlformats.org/officeDocument/2006/relationships/hyperlink" Target="https://www.diodes.com/part/view/ZXMN4A06GQ" TargetMode="External"/><Relationship Id="rId_hyperlink_3946" Type="http://schemas.openxmlformats.org/officeDocument/2006/relationships/hyperlink" Target="https://www.diodes.com/assets/Datasheets/ZXMN4A06GQ.pdf" TargetMode="External"/><Relationship Id="rId_hyperlink_3947" Type="http://schemas.openxmlformats.org/officeDocument/2006/relationships/hyperlink" Target="https://www.diodes.com/part/view/ZXMN4A06K" TargetMode="External"/><Relationship Id="rId_hyperlink_3948" Type="http://schemas.openxmlformats.org/officeDocument/2006/relationships/hyperlink" Target="https://www.diodes.com/assets/Datasheets/ZXMN4A06K.pdf" TargetMode="External"/><Relationship Id="rId_hyperlink_3949" Type="http://schemas.openxmlformats.org/officeDocument/2006/relationships/hyperlink" Target="https://www.diodes.com/part/view/ZXMN6A07F" TargetMode="External"/><Relationship Id="rId_hyperlink_3950" Type="http://schemas.openxmlformats.org/officeDocument/2006/relationships/hyperlink" Target="https://www.diodes.com/assets/Datasheets/ZXMN6A07F.pdf" TargetMode="External"/><Relationship Id="rId_hyperlink_3951" Type="http://schemas.openxmlformats.org/officeDocument/2006/relationships/hyperlink" Target="https://www.diodes.com/part/view/ZXMN6A07FQ" TargetMode="External"/><Relationship Id="rId_hyperlink_3952" Type="http://schemas.openxmlformats.org/officeDocument/2006/relationships/hyperlink" Target="https://www.diodes.com/assets/Datasheets/ZXMN6A07FQ.pdf" TargetMode="External"/><Relationship Id="rId_hyperlink_3953" Type="http://schemas.openxmlformats.org/officeDocument/2006/relationships/hyperlink" Target="https://www.diodes.com/part/view/ZXMN6A07Z" TargetMode="External"/><Relationship Id="rId_hyperlink_3954" Type="http://schemas.openxmlformats.org/officeDocument/2006/relationships/hyperlink" Target="https://www.diodes.com/assets/Datasheets/ZXMN6A07Z.pdf" TargetMode="External"/><Relationship Id="rId_hyperlink_3955" Type="http://schemas.openxmlformats.org/officeDocument/2006/relationships/hyperlink" Target="https://www.diodes.com/part/view/ZXMN6A08E6" TargetMode="External"/><Relationship Id="rId_hyperlink_3956" Type="http://schemas.openxmlformats.org/officeDocument/2006/relationships/hyperlink" Target="https://www.diodes.com/assets/Datasheets/ZXMN6A08E6.pdf" TargetMode="External"/><Relationship Id="rId_hyperlink_3957" Type="http://schemas.openxmlformats.org/officeDocument/2006/relationships/hyperlink" Target="https://www.diodes.com/part/view/ZXMN6A08E6Q" TargetMode="External"/><Relationship Id="rId_hyperlink_3958" Type="http://schemas.openxmlformats.org/officeDocument/2006/relationships/hyperlink" Target="https://www.diodes.com/assets/Datasheets/ZXMN6A08E6Q.pdf" TargetMode="External"/><Relationship Id="rId_hyperlink_3959" Type="http://schemas.openxmlformats.org/officeDocument/2006/relationships/hyperlink" Target="https://www.diodes.com/part/view/ZXMN6A08G" TargetMode="External"/><Relationship Id="rId_hyperlink_3960" Type="http://schemas.openxmlformats.org/officeDocument/2006/relationships/hyperlink" Target="https://www.diodes.com/assets/Datasheets/ZXMN6A08G.pdf" TargetMode="External"/><Relationship Id="rId_hyperlink_3961" Type="http://schemas.openxmlformats.org/officeDocument/2006/relationships/hyperlink" Target="https://www.diodes.com/part/view/ZXMN6A08GQ" TargetMode="External"/><Relationship Id="rId_hyperlink_3962" Type="http://schemas.openxmlformats.org/officeDocument/2006/relationships/hyperlink" Target="https://www.diodes.com/assets/Datasheets/ZXMN6A08GQ.pdf" TargetMode="External"/><Relationship Id="rId_hyperlink_3963" Type="http://schemas.openxmlformats.org/officeDocument/2006/relationships/hyperlink" Target="https://www.diodes.com/part/view/ZXMN6A08K" TargetMode="External"/><Relationship Id="rId_hyperlink_3964" Type="http://schemas.openxmlformats.org/officeDocument/2006/relationships/hyperlink" Target="https://www.diodes.com/assets/Datasheets/ZXMN6A08K.pdf" TargetMode="External"/><Relationship Id="rId_hyperlink_3965" Type="http://schemas.openxmlformats.org/officeDocument/2006/relationships/hyperlink" Target="https://www.diodes.com/part/view/ZXMN6A09DN8" TargetMode="External"/><Relationship Id="rId_hyperlink_3966" Type="http://schemas.openxmlformats.org/officeDocument/2006/relationships/hyperlink" Target="https://www.diodes.com/assets/Datasheets/ZXMN6A09DN8.pdf" TargetMode="External"/><Relationship Id="rId_hyperlink_3967" Type="http://schemas.openxmlformats.org/officeDocument/2006/relationships/hyperlink" Target="https://www.diodes.com/part/view/ZXMN6A09G" TargetMode="External"/><Relationship Id="rId_hyperlink_3968" Type="http://schemas.openxmlformats.org/officeDocument/2006/relationships/hyperlink" Target="https://www.diodes.com/assets/Datasheets/ZXMN6A09G.pdf" TargetMode="External"/><Relationship Id="rId_hyperlink_3969" Type="http://schemas.openxmlformats.org/officeDocument/2006/relationships/hyperlink" Target="https://www.diodes.com/part/view/ZXMN6A09GQ" TargetMode="External"/><Relationship Id="rId_hyperlink_3970" Type="http://schemas.openxmlformats.org/officeDocument/2006/relationships/hyperlink" Target="https://www.diodes.com/assets/Datasheets/ZXMN6A09GQ.pdf" TargetMode="External"/><Relationship Id="rId_hyperlink_3971" Type="http://schemas.openxmlformats.org/officeDocument/2006/relationships/hyperlink" Target="https://www.diodes.com/part/view/ZXMN6A09K" TargetMode="External"/><Relationship Id="rId_hyperlink_3972" Type="http://schemas.openxmlformats.org/officeDocument/2006/relationships/hyperlink" Target="https://www.diodes.com/assets/Datasheets/ZXMN6A09K.pdf" TargetMode="External"/><Relationship Id="rId_hyperlink_3973" Type="http://schemas.openxmlformats.org/officeDocument/2006/relationships/hyperlink" Target="https://www.diodes.com/part/view/ZXMN6A11DN8" TargetMode="External"/><Relationship Id="rId_hyperlink_3974" Type="http://schemas.openxmlformats.org/officeDocument/2006/relationships/hyperlink" Target="https://www.diodes.com/assets/Datasheets/ZXMN6A11DN8.pdf" TargetMode="External"/><Relationship Id="rId_hyperlink_3975" Type="http://schemas.openxmlformats.org/officeDocument/2006/relationships/hyperlink" Target="https://www.diodes.com/part/view/ZXMN6A11G" TargetMode="External"/><Relationship Id="rId_hyperlink_3976" Type="http://schemas.openxmlformats.org/officeDocument/2006/relationships/hyperlink" Target="https://www.diodes.com/assets/Datasheets/ZXMN6A11G.pdf" TargetMode="External"/><Relationship Id="rId_hyperlink_3977" Type="http://schemas.openxmlformats.org/officeDocument/2006/relationships/hyperlink" Target="https://www.diodes.com/part/view/ZXMN6A11Z" TargetMode="External"/><Relationship Id="rId_hyperlink_3978" Type="http://schemas.openxmlformats.org/officeDocument/2006/relationships/hyperlink" Target="https://www.diodes.com/assets/Datasheets/ZXMN6A11Z.pdf" TargetMode="External"/><Relationship Id="rId_hyperlink_3979" Type="http://schemas.openxmlformats.org/officeDocument/2006/relationships/hyperlink" Target="https://www.diodes.com/part/view/ZXMN6A25DN8" TargetMode="External"/><Relationship Id="rId_hyperlink_3980" Type="http://schemas.openxmlformats.org/officeDocument/2006/relationships/hyperlink" Target="https://www.diodes.com/assets/Datasheets/ZXMN6A25DN8.pdf" TargetMode="External"/><Relationship Id="rId_hyperlink_3981" Type="http://schemas.openxmlformats.org/officeDocument/2006/relationships/hyperlink" Target="https://www.diodes.com/part/view/ZXMN6A25G" TargetMode="External"/><Relationship Id="rId_hyperlink_3982" Type="http://schemas.openxmlformats.org/officeDocument/2006/relationships/hyperlink" Target="https://www.diodes.com/assets/Datasheets/ZXMN6A25G.pdf" TargetMode="External"/><Relationship Id="rId_hyperlink_3983" Type="http://schemas.openxmlformats.org/officeDocument/2006/relationships/hyperlink" Target="https://www.diodes.com/part/view/ZXMN6A25K" TargetMode="External"/><Relationship Id="rId_hyperlink_3984" Type="http://schemas.openxmlformats.org/officeDocument/2006/relationships/hyperlink" Target="https://www.diodes.com/assets/Datasheets/ZXMN6A25K.pdf" TargetMode="External"/><Relationship Id="rId_hyperlink_3985" Type="http://schemas.openxmlformats.org/officeDocument/2006/relationships/hyperlink" Target="https://www.diodes.com/part/view/ZXMN6A25N8" TargetMode="External"/><Relationship Id="rId_hyperlink_3986" Type="http://schemas.openxmlformats.org/officeDocument/2006/relationships/hyperlink" Target="https://www.diodes.com/assets/Datasheets/ZXMN6A25N8.pdf" TargetMode="External"/><Relationship Id="rId_hyperlink_3987" Type="http://schemas.openxmlformats.org/officeDocument/2006/relationships/hyperlink" Target="https://www.diodes.com/part/view/ZXMN7A11G" TargetMode="External"/><Relationship Id="rId_hyperlink_3988" Type="http://schemas.openxmlformats.org/officeDocument/2006/relationships/hyperlink" Target="https://www.diodes.com/assets/Datasheets/ZXMN7A11G.pdf" TargetMode="External"/><Relationship Id="rId_hyperlink_3989" Type="http://schemas.openxmlformats.org/officeDocument/2006/relationships/hyperlink" Target="https://www.diodes.com/part/view/ZXMN7A11GQ" TargetMode="External"/><Relationship Id="rId_hyperlink_3990" Type="http://schemas.openxmlformats.org/officeDocument/2006/relationships/hyperlink" Target="https://www.diodes.com/assets/Datasheets/ZXMN7A11GQ.pdf" TargetMode="External"/><Relationship Id="rId_hyperlink_3991" Type="http://schemas.openxmlformats.org/officeDocument/2006/relationships/hyperlink" Target="https://www.diodes.com/part/view/ZXMN7A11K" TargetMode="External"/><Relationship Id="rId_hyperlink_3992" Type="http://schemas.openxmlformats.org/officeDocument/2006/relationships/hyperlink" Target="https://www.diodes.com/assets/Datasheets/ZXMN7A11K.pdf" TargetMode="External"/><Relationship Id="rId_hyperlink_3993" Type="http://schemas.openxmlformats.org/officeDocument/2006/relationships/hyperlink" Target="https://www.diodes.com/part/view/ZXMP10A13F" TargetMode="External"/><Relationship Id="rId_hyperlink_3994" Type="http://schemas.openxmlformats.org/officeDocument/2006/relationships/hyperlink" Target="https://www.diodes.com/assets/Datasheets/ZXMP10A13F.pdf" TargetMode="External"/><Relationship Id="rId_hyperlink_3995" Type="http://schemas.openxmlformats.org/officeDocument/2006/relationships/hyperlink" Target="https://www.diodes.com/part/view/ZXMP10A13FQ" TargetMode="External"/><Relationship Id="rId_hyperlink_3996" Type="http://schemas.openxmlformats.org/officeDocument/2006/relationships/hyperlink" Target="https://www.diodes.com/assets/Datasheets/ZXMP10A13FQ.pdf" TargetMode="External"/><Relationship Id="rId_hyperlink_3997" Type="http://schemas.openxmlformats.org/officeDocument/2006/relationships/hyperlink" Target="https://www.diodes.com/part/view/ZXMP10A16K" TargetMode="External"/><Relationship Id="rId_hyperlink_3998" Type="http://schemas.openxmlformats.org/officeDocument/2006/relationships/hyperlink" Target="https://www.diodes.com/assets/Datasheets/ZXMP10A16K.pdf" TargetMode="External"/><Relationship Id="rId_hyperlink_3999" Type="http://schemas.openxmlformats.org/officeDocument/2006/relationships/hyperlink" Target="https://www.diodes.com/part/view/ZXMP10A17E6" TargetMode="External"/><Relationship Id="rId_hyperlink_4000" Type="http://schemas.openxmlformats.org/officeDocument/2006/relationships/hyperlink" Target="https://www.diodes.com/assets/Datasheets/ZXMP10A17E6.pdf" TargetMode="External"/><Relationship Id="rId_hyperlink_4001" Type="http://schemas.openxmlformats.org/officeDocument/2006/relationships/hyperlink" Target="https://www.diodes.com/part/view/ZXMP10A17E6Q" TargetMode="External"/><Relationship Id="rId_hyperlink_4002" Type="http://schemas.openxmlformats.org/officeDocument/2006/relationships/hyperlink" Target="https://www.diodes.com/assets/Datasheets/ZXMP10A17E6Q.pdf" TargetMode="External"/><Relationship Id="rId_hyperlink_4003" Type="http://schemas.openxmlformats.org/officeDocument/2006/relationships/hyperlink" Target="https://www.diodes.com/part/view/ZXMP10A17G" TargetMode="External"/><Relationship Id="rId_hyperlink_4004" Type="http://schemas.openxmlformats.org/officeDocument/2006/relationships/hyperlink" Target="https://www.diodes.com/assets/Datasheets/ZXMP10A17G.pdf" TargetMode="External"/><Relationship Id="rId_hyperlink_4005" Type="http://schemas.openxmlformats.org/officeDocument/2006/relationships/hyperlink" Target="https://www.diodes.com/part/view/ZXMP10A17GQ" TargetMode="External"/><Relationship Id="rId_hyperlink_4006" Type="http://schemas.openxmlformats.org/officeDocument/2006/relationships/hyperlink" Target="https://www.diodes.com/assets/Datasheets/ZXMP10A17GQ.pdf" TargetMode="External"/><Relationship Id="rId_hyperlink_4007" Type="http://schemas.openxmlformats.org/officeDocument/2006/relationships/hyperlink" Target="https://www.diodes.com/part/view/ZXMP10A17K" TargetMode="External"/><Relationship Id="rId_hyperlink_4008" Type="http://schemas.openxmlformats.org/officeDocument/2006/relationships/hyperlink" Target="https://www.diodes.com/assets/Datasheets/ZXMP10A17K.pdf" TargetMode="External"/><Relationship Id="rId_hyperlink_4009" Type="http://schemas.openxmlformats.org/officeDocument/2006/relationships/hyperlink" Target="https://www.diodes.com/part/view/ZXMP10A18G" TargetMode="External"/><Relationship Id="rId_hyperlink_4010" Type="http://schemas.openxmlformats.org/officeDocument/2006/relationships/hyperlink" Target="https://www.diodes.com/assets/Datasheets/ZXMP10A18G.pdf" TargetMode="External"/><Relationship Id="rId_hyperlink_4011" Type="http://schemas.openxmlformats.org/officeDocument/2006/relationships/hyperlink" Target="https://www.diodes.com/part/view/ZXMP10A18K" TargetMode="External"/><Relationship Id="rId_hyperlink_4012" Type="http://schemas.openxmlformats.org/officeDocument/2006/relationships/hyperlink" Target="https://www.diodes.com/assets/Datasheets/ZXMP10A18K.pdf" TargetMode="External"/><Relationship Id="rId_hyperlink_4013" Type="http://schemas.openxmlformats.org/officeDocument/2006/relationships/hyperlink" Target="https://www.diodes.com/part/view/ZXMP10A18KQ" TargetMode="External"/><Relationship Id="rId_hyperlink_4014" Type="http://schemas.openxmlformats.org/officeDocument/2006/relationships/hyperlink" Target="https://www.diodes.com/assets/Datasheets/ZXMP10A18KQ.pdf" TargetMode="External"/><Relationship Id="rId_hyperlink_4015" Type="http://schemas.openxmlformats.org/officeDocument/2006/relationships/hyperlink" Target="https://www.diodes.com/part/view/ZXMP2120FF" TargetMode="External"/><Relationship Id="rId_hyperlink_4016" Type="http://schemas.openxmlformats.org/officeDocument/2006/relationships/hyperlink" Target="https://www.diodes.com/assets/Datasheets/ZXMP2120FF.pdf" TargetMode="External"/><Relationship Id="rId_hyperlink_4017" Type="http://schemas.openxmlformats.org/officeDocument/2006/relationships/hyperlink" Target="https://www.diodes.com/part/view/ZXMP3A13F" TargetMode="External"/><Relationship Id="rId_hyperlink_4018" Type="http://schemas.openxmlformats.org/officeDocument/2006/relationships/hyperlink" Target="https://www.diodes.com/assets/Datasheets/ZXMP3A13F.pdf" TargetMode="External"/><Relationship Id="rId_hyperlink_4019" Type="http://schemas.openxmlformats.org/officeDocument/2006/relationships/hyperlink" Target="https://www.diodes.com/part/view/ZXMP3A16DN8" TargetMode="External"/><Relationship Id="rId_hyperlink_4020" Type="http://schemas.openxmlformats.org/officeDocument/2006/relationships/hyperlink" Target="https://www.diodes.com/assets/Datasheets/ZXMP3A16DN8.pdf" TargetMode="External"/><Relationship Id="rId_hyperlink_4021" Type="http://schemas.openxmlformats.org/officeDocument/2006/relationships/hyperlink" Target="https://www.diodes.com/part/view/ZXMP3A16G" TargetMode="External"/><Relationship Id="rId_hyperlink_4022" Type="http://schemas.openxmlformats.org/officeDocument/2006/relationships/hyperlink" Target="https://www.diodes.com/assets/Datasheets/ZXMP3A16G.pdf" TargetMode="External"/><Relationship Id="rId_hyperlink_4023" Type="http://schemas.openxmlformats.org/officeDocument/2006/relationships/hyperlink" Target="https://www.diodes.com/part/view/ZXMP3A16N8" TargetMode="External"/><Relationship Id="rId_hyperlink_4024" Type="http://schemas.openxmlformats.org/officeDocument/2006/relationships/hyperlink" Target="https://www.diodes.com/assets/Datasheets/ZXMP3A16N8.pdf" TargetMode="External"/><Relationship Id="rId_hyperlink_4025" Type="http://schemas.openxmlformats.org/officeDocument/2006/relationships/hyperlink" Target="https://www.diodes.com/part/view/ZXMP3A17DN8" TargetMode="External"/><Relationship Id="rId_hyperlink_4026" Type="http://schemas.openxmlformats.org/officeDocument/2006/relationships/hyperlink" Target="https://www.diodes.com/assets/Datasheets/ZXMP3A17DN8.pdf" TargetMode="External"/><Relationship Id="rId_hyperlink_4027" Type="http://schemas.openxmlformats.org/officeDocument/2006/relationships/hyperlink" Target="https://www.diodes.com/part/view/ZXMP3A17E6" TargetMode="External"/><Relationship Id="rId_hyperlink_4028" Type="http://schemas.openxmlformats.org/officeDocument/2006/relationships/hyperlink" Target="https://www.diodes.com/assets/Datasheets/ZXMP3A17E6.pdf" TargetMode="External"/><Relationship Id="rId_hyperlink_4029" Type="http://schemas.openxmlformats.org/officeDocument/2006/relationships/hyperlink" Target="https://www.diodes.com/part/view/ZXMP3F30FH" TargetMode="External"/><Relationship Id="rId_hyperlink_4030" Type="http://schemas.openxmlformats.org/officeDocument/2006/relationships/hyperlink" Target="https://www.diodes.com/assets/Datasheets/ZXMP3F30FH.pdf" TargetMode="External"/><Relationship Id="rId_hyperlink_4031" Type="http://schemas.openxmlformats.org/officeDocument/2006/relationships/hyperlink" Target="https://www.diodes.com/part/view/ZXMP4A16G" TargetMode="External"/><Relationship Id="rId_hyperlink_4032" Type="http://schemas.openxmlformats.org/officeDocument/2006/relationships/hyperlink" Target="https://www.diodes.com/assets/Datasheets/ZXMP4A16G.pdf" TargetMode="External"/><Relationship Id="rId_hyperlink_4033" Type="http://schemas.openxmlformats.org/officeDocument/2006/relationships/hyperlink" Target="https://www.diodes.com/part/view/ZXMP4A16GQ" TargetMode="External"/><Relationship Id="rId_hyperlink_4034" Type="http://schemas.openxmlformats.org/officeDocument/2006/relationships/hyperlink" Target="https://www.diodes.com/assets/Datasheets/ZXMP4A16GQ.pdf" TargetMode="External"/><Relationship Id="rId_hyperlink_4035" Type="http://schemas.openxmlformats.org/officeDocument/2006/relationships/hyperlink" Target="https://www.diodes.com/part/view/ZXMP4A16K" TargetMode="External"/><Relationship Id="rId_hyperlink_4036" Type="http://schemas.openxmlformats.org/officeDocument/2006/relationships/hyperlink" Target="https://www.diodes.com/assets/Datasheets/ZXMP4A16K.pdf" TargetMode="External"/><Relationship Id="rId_hyperlink_4037" Type="http://schemas.openxmlformats.org/officeDocument/2006/relationships/hyperlink" Target="https://www.diodes.com/part/view/ZXMP4A57E6" TargetMode="External"/><Relationship Id="rId_hyperlink_4038" Type="http://schemas.openxmlformats.org/officeDocument/2006/relationships/hyperlink" Target="https://www.diodes.com/assets/Datasheets/ZXMP4A57E6.pdf" TargetMode="External"/><Relationship Id="rId_hyperlink_4039" Type="http://schemas.openxmlformats.org/officeDocument/2006/relationships/hyperlink" Target="https://www.diodes.com/part/view/ZXMP6A13F" TargetMode="External"/><Relationship Id="rId_hyperlink_4040" Type="http://schemas.openxmlformats.org/officeDocument/2006/relationships/hyperlink" Target="https://www.diodes.com/assets/Datasheets/ZXMP6A13F.pdf" TargetMode="External"/><Relationship Id="rId_hyperlink_4041" Type="http://schemas.openxmlformats.org/officeDocument/2006/relationships/hyperlink" Target="https://www.diodes.com/part/view/ZXMP6A13FQ" TargetMode="External"/><Relationship Id="rId_hyperlink_4042" Type="http://schemas.openxmlformats.org/officeDocument/2006/relationships/hyperlink" Target="https://www.diodes.com/assets/Datasheets/ZXMP6A13FQ.pdf" TargetMode="External"/><Relationship Id="rId_hyperlink_4043" Type="http://schemas.openxmlformats.org/officeDocument/2006/relationships/hyperlink" Target="https://www.diodes.com/part/view/ZXMP6A13G" TargetMode="External"/><Relationship Id="rId_hyperlink_4044" Type="http://schemas.openxmlformats.org/officeDocument/2006/relationships/hyperlink" Target="https://www.diodes.com/assets/Datasheets/ZXMP6A13G.pdf" TargetMode="External"/><Relationship Id="rId_hyperlink_4045" Type="http://schemas.openxmlformats.org/officeDocument/2006/relationships/hyperlink" Target="https://www.diodes.com/part/view/ZXMP6A16DN8" TargetMode="External"/><Relationship Id="rId_hyperlink_4046" Type="http://schemas.openxmlformats.org/officeDocument/2006/relationships/hyperlink" Target="https://www.diodes.com/assets/Datasheets/ZXMP6A16DN8.pdf" TargetMode="External"/><Relationship Id="rId_hyperlink_4047" Type="http://schemas.openxmlformats.org/officeDocument/2006/relationships/hyperlink" Target="https://www.diodes.com/part/view/ZXMP6A16DN8Q" TargetMode="External"/><Relationship Id="rId_hyperlink_4048" Type="http://schemas.openxmlformats.org/officeDocument/2006/relationships/hyperlink" Target="https://www.diodes.com/assets/Datasheets/ZXMP6A16DN8Q.pdf" TargetMode="External"/><Relationship Id="rId_hyperlink_4049" Type="http://schemas.openxmlformats.org/officeDocument/2006/relationships/hyperlink" Target="https://www.diodes.com/part/view/ZXMP6A16K" TargetMode="External"/><Relationship Id="rId_hyperlink_4050" Type="http://schemas.openxmlformats.org/officeDocument/2006/relationships/hyperlink" Target="https://www.diodes.com/assets/Datasheets/ZXMP6A16K.pdf" TargetMode="External"/><Relationship Id="rId_hyperlink_4051" Type="http://schemas.openxmlformats.org/officeDocument/2006/relationships/hyperlink" Target="https://www.diodes.com/part/view/ZXMP6A17DN8" TargetMode="External"/><Relationship Id="rId_hyperlink_4052" Type="http://schemas.openxmlformats.org/officeDocument/2006/relationships/hyperlink" Target="https://www.diodes.com/assets/Datasheets/ZXMP6A17DN8.pdf" TargetMode="External"/><Relationship Id="rId_hyperlink_4053" Type="http://schemas.openxmlformats.org/officeDocument/2006/relationships/hyperlink" Target="https://www.diodes.com/part/view/ZXMP6A17E6" TargetMode="External"/><Relationship Id="rId_hyperlink_4054" Type="http://schemas.openxmlformats.org/officeDocument/2006/relationships/hyperlink" Target="https://www.diodes.com/assets/Datasheets/ZXMP6A17E6.pdf" TargetMode="External"/><Relationship Id="rId_hyperlink_4055" Type="http://schemas.openxmlformats.org/officeDocument/2006/relationships/hyperlink" Target="https://www.diodes.com/part/view/ZXMP6A17E6Q" TargetMode="External"/><Relationship Id="rId_hyperlink_4056" Type="http://schemas.openxmlformats.org/officeDocument/2006/relationships/hyperlink" Target="https://www.diodes.com/assets/Datasheets/ZXMP6A17E6Q.pdf" TargetMode="External"/><Relationship Id="rId_hyperlink_4057" Type="http://schemas.openxmlformats.org/officeDocument/2006/relationships/hyperlink" Target="https://www.diodes.com/part/view/ZXMP6A17G" TargetMode="External"/><Relationship Id="rId_hyperlink_4058" Type="http://schemas.openxmlformats.org/officeDocument/2006/relationships/hyperlink" Target="https://www.diodes.com/assets/Datasheets/ZXMP6A17G.pdf" TargetMode="External"/><Relationship Id="rId_hyperlink_4059" Type="http://schemas.openxmlformats.org/officeDocument/2006/relationships/hyperlink" Target="https://www.diodes.com/part/view/ZXMP6A17GQ" TargetMode="External"/><Relationship Id="rId_hyperlink_4060" Type="http://schemas.openxmlformats.org/officeDocument/2006/relationships/hyperlink" Target="https://www.diodes.com/assets/Datasheets/ZXMP6A17GQ.pdf" TargetMode="External"/><Relationship Id="rId_hyperlink_4061" Type="http://schemas.openxmlformats.org/officeDocument/2006/relationships/hyperlink" Target="https://www.diodes.com/part/view/ZXMP6A17K" TargetMode="External"/><Relationship Id="rId_hyperlink_4062" Type="http://schemas.openxmlformats.org/officeDocument/2006/relationships/hyperlink" Target="https://www.diodes.com/assets/Datasheets/ZXMP6A17K.pdf" TargetMode="External"/><Relationship Id="rId_hyperlink_4063" Type="http://schemas.openxmlformats.org/officeDocument/2006/relationships/hyperlink" Target="https://www.diodes.com/part/view/ZXMP6A17N8" TargetMode="External"/><Relationship Id="rId_hyperlink_4064" Type="http://schemas.openxmlformats.org/officeDocument/2006/relationships/hyperlink" Target="https://www.diodes.com/assets/Datasheets/ZXMP6A17N8.pdf" TargetMode="External"/><Relationship Id="rId_hyperlink_4065" Type="http://schemas.openxmlformats.org/officeDocument/2006/relationships/hyperlink" Target="https://www.diodes.com/part/view/ZXMP6A18DN8" TargetMode="External"/><Relationship Id="rId_hyperlink_4066" Type="http://schemas.openxmlformats.org/officeDocument/2006/relationships/hyperlink" Target="https://www.diodes.com/assets/Datasheets/ZXMP6A18DN8.pdf" TargetMode="External"/><Relationship Id="rId_hyperlink_4067" Type="http://schemas.openxmlformats.org/officeDocument/2006/relationships/hyperlink" Target="https://www.diodes.com/part/view/ZXMP6A18K" TargetMode="External"/><Relationship Id="rId_hyperlink_4068" Type="http://schemas.openxmlformats.org/officeDocument/2006/relationships/hyperlink" Target="https://www.diodes.com/assets/Datasheets/ZXMP6A18K.pdf" TargetMode="External"/><Relationship Id="rId_hyperlink_4069" Type="http://schemas.openxmlformats.org/officeDocument/2006/relationships/hyperlink" Target="https://www.diodes.com/part/view/ZXMP7A17G" TargetMode="External"/><Relationship Id="rId_hyperlink_4070" Type="http://schemas.openxmlformats.org/officeDocument/2006/relationships/hyperlink" Target="https://www.diodes.com/assets/Datasheets/ZXMP7A17G.pdf" TargetMode="External"/><Relationship Id="rId_hyperlink_4071" Type="http://schemas.openxmlformats.org/officeDocument/2006/relationships/hyperlink" Target="https://www.diodes.com/part/view/ZXMP7A17GQ" TargetMode="External"/><Relationship Id="rId_hyperlink_4072" Type="http://schemas.openxmlformats.org/officeDocument/2006/relationships/hyperlink" Target="https://www.diodes.com/assets/Datasheets/ZXMP7A17GQ.pdf" TargetMode="External"/><Relationship Id="rId_hyperlink_4073" Type="http://schemas.openxmlformats.org/officeDocument/2006/relationships/hyperlink" Target="https://www.diodes.com/part/view/ZXMP7A17K" TargetMode="External"/><Relationship Id="rId_hyperlink_4074" Type="http://schemas.openxmlformats.org/officeDocument/2006/relationships/hyperlink" Target="https://www.diodes.com/assets/Datasheets/ZXMP7A17K.pdf" TargetMode="External"/><Relationship Id="rId_hyperlink_4075" Type="http://schemas.openxmlformats.org/officeDocument/2006/relationships/hyperlink" Target="https://www.diodes.com/part/view/ZXMP7A17KQ" TargetMode="External"/><Relationship Id="rId_hyperlink_4076" Type="http://schemas.openxmlformats.org/officeDocument/2006/relationships/hyperlink" Target="https://www.diodes.com/assets/Datasheets/ZXMP7A17K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X1"/>
    </sheetView>
  </sheetViews>
  <sheetFormatPr defaultRowHeight="14.4" outlineLevelRow="0" outlineLevelCol="0"/>
  <cols>
    <col min="1" max="1" width="18.71" bestFit="true" customWidth="true" style="0"/>
    <col min="2" max="2" width="31.707" bestFit="true" customWidth="true" style="0"/>
    <col min="3" max="3" width="82.408" bestFit="true" customWidth="true" style="0"/>
    <col min="4" max="4" width="16.425" bestFit="true" customWidth="true" style="0"/>
    <col min="5" max="5" width="54.13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5.851" bestFit="true" customWidth="true" style="0"/>
    <col min="12" max="12" width="22.28" bestFit="true" customWidth="true" style="0"/>
    <col min="13" max="13" width="22.28" bestFit="true" customWidth="true" style="0"/>
    <col min="14" max="14" width="29.421" bestFit="true" customWidth="true" style="0"/>
    <col min="15" max="15" width="30.564" bestFit="true" customWidth="true" style="0"/>
    <col min="16" max="16" width="30.564" bestFit="true" customWidth="true" style="0"/>
    <col min="17" max="17" width="30.564" bestFit="true" customWidth="true" style="0"/>
    <col min="18" max="18" width="21.138" bestFit="true" customWidth="true" style="0"/>
    <col min="19" max="19" width="21.138" bestFit="true" customWidth="true" style="0"/>
    <col min="20" max="20" width="31.707" bestFit="true" customWidth="true" style="0"/>
    <col min="21" max="21" width="30.564" bestFit="true" customWidth="true" style="0"/>
    <col min="22" max="22" width="17.567" bestFit="true" customWidth="true" style="0"/>
    <col min="23" max="23" width="30.564" bestFit="true" customWidth="true" style="0"/>
    <col min="24" max="24" width="62.413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X1" s="1" t="s">
        <v>23</v>
      </c>
    </row>
    <row r="2" spans="1:24">
      <c r="A2" t="str">
        <f>Hyperlink("https://www.diodes.com/part/view/2N7002","2N7002")</f>
        <v>2N7002</v>
      </c>
      <c r="B2" t="str">
        <f>Hyperlink("https://www.diodes.com/assets/Datasheets/2N7002.pdf","2N7002 Datasheet")</f>
        <v>2N7002 Datasheet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>
        <v>60</v>
      </c>
      <c r="I2">
        <v>20</v>
      </c>
      <c r="J2">
        <v>0.21</v>
      </c>
      <c r="L2">
        <v>0.37</v>
      </c>
      <c r="N2">
        <v>5000</v>
      </c>
      <c r="O2">
        <v>7500</v>
      </c>
      <c r="S2">
        <v>2.5</v>
      </c>
      <c r="T2">
        <v>0.223</v>
      </c>
      <c r="V2" t="s">
        <v>29</v>
      </c>
      <c r="X2" t="s">
        <v>30</v>
      </c>
    </row>
    <row r="3" spans="1:24">
      <c r="A3" t="str">
        <f>Hyperlink("https://www.diodes.com/part/view/2N7002A","2N7002A")</f>
        <v>2N7002A</v>
      </c>
      <c r="B3" t="str">
        <f>Hyperlink("https://www.diodes.com/assets/Datasheets/ds31360.pdf","2N7002A Datasheet")</f>
        <v>2N7002A Datasheet</v>
      </c>
      <c r="C3" t="s">
        <v>24</v>
      </c>
      <c r="D3" t="s">
        <v>25</v>
      </c>
      <c r="E3" t="s">
        <v>26</v>
      </c>
      <c r="F3" t="s">
        <v>27</v>
      </c>
      <c r="G3" t="s">
        <v>25</v>
      </c>
      <c r="H3">
        <v>60</v>
      </c>
      <c r="I3">
        <v>20</v>
      </c>
      <c r="J3">
        <v>0.2</v>
      </c>
      <c r="L3">
        <v>0.54</v>
      </c>
      <c r="N3">
        <v>3000</v>
      </c>
      <c r="O3">
        <v>3500</v>
      </c>
      <c r="S3">
        <v>2</v>
      </c>
      <c r="V3" t="s">
        <v>31</v>
      </c>
      <c r="X3" t="s">
        <v>32</v>
      </c>
    </row>
    <row r="4" spans="1:24">
      <c r="A4" t="str">
        <f>Hyperlink("https://www.diodes.com/part/view/2N7002AQ","2N7002AQ")</f>
        <v>2N7002AQ</v>
      </c>
      <c r="B4" t="str">
        <f>Hyperlink("https://www.diodes.com/assets/Datasheets/2N7002AQ.pdf","2N7002AQ Datasheet")</f>
        <v>2N7002AQ Datasheet</v>
      </c>
      <c r="C4" t="s">
        <v>24</v>
      </c>
      <c r="D4" t="s">
        <v>25</v>
      </c>
      <c r="E4" t="s">
        <v>33</v>
      </c>
      <c r="F4" t="s">
        <v>27</v>
      </c>
      <c r="G4" t="s">
        <v>25</v>
      </c>
      <c r="H4">
        <v>60</v>
      </c>
      <c r="I4">
        <v>20</v>
      </c>
      <c r="J4">
        <v>0.2</v>
      </c>
      <c r="L4">
        <v>0.54</v>
      </c>
      <c r="N4">
        <v>3000</v>
      </c>
      <c r="O4">
        <v>3500</v>
      </c>
      <c r="S4">
        <v>2</v>
      </c>
      <c r="V4">
        <v>23</v>
      </c>
      <c r="W4">
        <v>25</v>
      </c>
      <c r="X4" t="s">
        <v>32</v>
      </c>
    </row>
    <row r="5" spans="1:24">
      <c r="A5" t="str">
        <f>Hyperlink("https://www.diodes.com/part/view/2N7002DW","2N7002DW")</f>
        <v>2N7002DW</v>
      </c>
      <c r="B5" t="str">
        <f>Hyperlink("https://www.diodes.com/assets/Datasheets/2N7002DW.pdf","2N7002DW Datasheet")</f>
        <v>2N7002DW Datasheet</v>
      </c>
      <c r="C5" t="s">
        <v>34</v>
      </c>
      <c r="D5" t="s">
        <v>25</v>
      </c>
      <c r="E5" t="s">
        <v>26</v>
      </c>
      <c r="F5" t="s">
        <v>35</v>
      </c>
      <c r="G5" t="s">
        <v>28</v>
      </c>
      <c r="H5">
        <v>60</v>
      </c>
      <c r="I5">
        <v>20</v>
      </c>
      <c r="J5">
        <v>0.23</v>
      </c>
      <c r="L5">
        <v>0.31</v>
      </c>
      <c r="N5">
        <v>13500</v>
      </c>
      <c r="O5" t="s">
        <v>36</v>
      </c>
      <c r="S5">
        <v>2</v>
      </c>
      <c r="V5" t="s">
        <v>29</v>
      </c>
      <c r="X5" t="s">
        <v>37</v>
      </c>
    </row>
    <row r="6" spans="1:24">
      <c r="A6" t="str">
        <f>Hyperlink("https://www.diodes.com/part/view/2N7002DWK","2N7002DWK")</f>
        <v>2N7002DWK</v>
      </c>
      <c r="B6" t="str">
        <f>Hyperlink("https://www.diodes.com/assets/Datasheets/2N7002DWK.pdf","2N7002DWK Datasheet")</f>
        <v>2N7002DWK Datasheet</v>
      </c>
      <c r="C6" t="s">
        <v>34</v>
      </c>
      <c r="D6" t="s">
        <v>28</v>
      </c>
      <c r="E6" t="s">
        <v>26</v>
      </c>
      <c r="F6" t="s">
        <v>35</v>
      </c>
      <c r="G6" t="s">
        <v>25</v>
      </c>
      <c r="H6">
        <v>60</v>
      </c>
      <c r="I6">
        <v>20</v>
      </c>
      <c r="J6">
        <v>0.261</v>
      </c>
      <c r="L6">
        <v>0.45</v>
      </c>
      <c r="N6">
        <v>3000</v>
      </c>
      <c r="O6">
        <v>4000</v>
      </c>
      <c r="S6">
        <v>2</v>
      </c>
      <c r="T6">
        <v>0.51</v>
      </c>
      <c r="U6">
        <v>1.04</v>
      </c>
      <c r="V6">
        <v>41</v>
      </c>
      <c r="W6">
        <v>25</v>
      </c>
      <c r="X6" t="s">
        <v>37</v>
      </c>
    </row>
    <row r="7" spans="1:24">
      <c r="A7" t="str">
        <f>Hyperlink("https://www.diodes.com/part/view/2N7002DWQ","2N7002DWQ")</f>
        <v>2N7002DWQ</v>
      </c>
      <c r="B7" t="str">
        <f>Hyperlink("https://www.diodes.com/assets/Datasheets/2N7002DWQ.pdf","2N7002DWQ Datasheet")</f>
        <v>2N7002DWQ Datasheet</v>
      </c>
      <c r="C7" t="s">
        <v>34</v>
      </c>
      <c r="D7" t="s">
        <v>25</v>
      </c>
      <c r="E7" t="s">
        <v>33</v>
      </c>
      <c r="F7" t="s">
        <v>35</v>
      </c>
      <c r="G7" t="s">
        <v>28</v>
      </c>
      <c r="H7">
        <v>60</v>
      </c>
      <c r="I7">
        <v>20</v>
      </c>
      <c r="J7">
        <v>0.23</v>
      </c>
      <c r="L7">
        <v>0.4</v>
      </c>
      <c r="N7">
        <v>13500</v>
      </c>
      <c r="O7" t="s">
        <v>36</v>
      </c>
      <c r="S7">
        <v>2</v>
      </c>
      <c r="T7">
        <v>0.223</v>
      </c>
      <c r="V7">
        <v>22</v>
      </c>
      <c r="W7">
        <v>25</v>
      </c>
      <c r="X7" t="s">
        <v>37</v>
      </c>
    </row>
    <row r="8" spans="1:24">
      <c r="A8" t="str">
        <f>Hyperlink("https://www.diodes.com/part/view/2N7002DWS","2N7002DWS")</f>
        <v>2N7002DWS</v>
      </c>
      <c r="B8" t="str">
        <f>Hyperlink("https://www.diodes.com/assets/Datasheets/2N7002DWS.pdf","2N7002DWS Datasheet")</f>
        <v>2N7002DWS Datasheet</v>
      </c>
      <c r="C8" t="s">
        <v>38</v>
      </c>
      <c r="D8" t="s">
        <v>28</v>
      </c>
      <c r="E8" t="s">
        <v>26</v>
      </c>
      <c r="F8" t="s">
        <v>35</v>
      </c>
      <c r="G8" t="s">
        <v>25</v>
      </c>
      <c r="H8">
        <v>60</v>
      </c>
      <c r="I8">
        <v>20</v>
      </c>
      <c r="J8">
        <v>0.247</v>
      </c>
      <c r="L8">
        <v>0.29</v>
      </c>
      <c r="N8">
        <v>4000</v>
      </c>
      <c r="O8">
        <v>4100</v>
      </c>
      <c r="S8">
        <v>2.5</v>
      </c>
      <c r="T8">
        <v>0.9</v>
      </c>
      <c r="V8">
        <v>41</v>
      </c>
      <c r="W8">
        <v>25</v>
      </c>
      <c r="X8" t="s">
        <v>37</v>
      </c>
    </row>
    <row r="9" spans="1:24">
      <c r="A9" t="str">
        <f>Hyperlink("https://www.diodes.com/part/view/2N7002E","2N7002E")</f>
        <v>2N7002E</v>
      </c>
      <c r="B9" t="str">
        <f>Hyperlink("https://www.diodes.com/assets/Datasheets/ds30376.pdf","2N7002E Datasheet")</f>
        <v>2N7002E Datasheet</v>
      </c>
      <c r="C9" t="s">
        <v>24</v>
      </c>
      <c r="D9" t="s">
        <v>25</v>
      </c>
      <c r="E9" t="s">
        <v>26</v>
      </c>
      <c r="F9" t="s">
        <v>27</v>
      </c>
      <c r="G9" t="s">
        <v>28</v>
      </c>
      <c r="H9">
        <v>60</v>
      </c>
      <c r="I9">
        <v>20</v>
      </c>
      <c r="J9">
        <v>0.3</v>
      </c>
      <c r="L9">
        <v>0.37</v>
      </c>
      <c r="N9">
        <v>3000</v>
      </c>
      <c r="O9">
        <v>4000</v>
      </c>
      <c r="S9">
        <v>2.5</v>
      </c>
      <c r="T9">
        <v>0.223</v>
      </c>
      <c r="V9" t="s">
        <v>29</v>
      </c>
      <c r="X9" t="s">
        <v>32</v>
      </c>
    </row>
    <row r="10" spans="1:24">
      <c r="A10" t="str">
        <f>Hyperlink("https://www.diodes.com/part/view/2N7002EQ","2N7002EQ")</f>
        <v>2N7002EQ</v>
      </c>
      <c r="B10" t="str">
        <f>Hyperlink("https://www.diodes.com/assets/Datasheets/2N7002EQ.pdf","2N7002EQ Datasheet")</f>
        <v>2N7002EQ Datasheet</v>
      </c>
      <c r="C10" t="s">
        <v>24</v>
      </c>
      <c r="D10" t="s">
        <v>25</v>
      </c>
      <c r="E10" t="s">
        <v>33</v>
      </c>
      <c r="F10" t="s">
        <v>27</v>
      </c>
      <c r="G10" t="s">
        <v>28</v>
      </c>
      <c r="H10">
        <v>60</v>
      </c>
      <c r="I10">
        <v>20</v>
      </c>
      <c r="J10">
        <v>0.334</v>
      </c>
      <c r="L10">
        <v>0.7</v>
      </c>
      <c r="N10">
        <v>3000</v>
      </c>
      <c r="O10">
        <v>4000</v>
      </c>
      <c r="S10">
        <v>2.5</v>
      </c>
      <c r="T10">
        <v>0.3</v>
      </c>
      <c r="U10">
        <v>0.5</v>
      </c>
      <c r="V10">
        <v>35</v>
      </c>
      <c r="W10">
        <v>30</v>
      </c>
      <c r="X10" t="s">
        <v>32</v>
      </c>
    </row>
    <row r="11" spans="1:24">
      <c r="A11" t="str">
        <f>Hyperlink("https://www.diodes.com/part/view/2N7002H","2N7002H")</f>
        <v>2N7002H</v>
      </c>
      <c r="B11" t="str">
        <f>Hyperlink("https://www.diodes.com/assets/Datasheets/2N7002H.pdf","2N7002H Datasheet")</f>
        <v>2N7002H Datasheet</v>
      </c>
      <c r="C11" t="s">
        <v>24</v>
      </c>
      <c r="D11" t="s">
        <v>25</v>
      </c>
      <c r="E11" t="s">
        <v>26</v>
      </c>
      <c r="F11" t="s">
        <v>27</v>
      </c>
      <c r="G11" t="s">
        <v>28</v>
      </c>
      <c r="H11">
        <v>60</v>
      </c>
      <c r="I11">
        <v>20</v>
      </c>
      <c r="J11">
        <v>0.21</v>
      </c>
      <c r="L11">
        <v>0.51</v>
      </c>
      <c r="O11">
        <v>7500</v>
      </c>
      <c r="S11">
        <v>3</v>
      </c>
      <c r="T11">
        <v>0.352</v>
      </c>
      <c r="V11">
        <v>26</v>
      </c>
      <c r="W11">
        <v>25</v>
      </c>
      <c r="X11" t="s">
        <v>32</v>
      </c>
    </row>
    <row r="12" spans="1:24">
      <c r="A12" t="str">
        <f>Hyperlink("https://www.diodes.com/part/view/2N7002K","2N7002K")</f>
        <v>2N7002K</v>
      </c>
      <c r="B12" t="str">
        <f>Hyperlink("https://www.diodes.com/assets/Datasheets/2N7002K.pdf","2N7002K Datasheet")</f>
        <v>2N7002K Datasheet</v>
      </c>
      <c r="C12" t="s">
        <v>24</v>
      </c>
      <c r="D12" t="s">
        <v>25</v>
      </c>
      <c r="E12" t="s">
        <v>26</v>
      </c>
      <c r="F12" t="s">
        <v>27</v>
      </c>
      <c r="G12" t="s">
        <v>25</v>
      </c>
      <c r="H12">
        <v>60</v>
      </c>
      <c r="I12">
        <v>20</v>
      </c>
      <c r="J12">
        <v>0.38</v>
      </c>
      <c r="L12">
        <v>0.37</v>
      </c>
      <c r="N12">
        <v>2000</v>
      </c>
      <c r="O12">
        <v>3000</v>
      </c>
      <c r="S12">
        <v>2.5</v>
      </c>
      <c r="V12" t="s">
        <v>39</v>
      </c>
      <c r="X12" t="s">
        <v>30</v>
      </c>
    </row>
    <row r="13" spans="1:24">
      <c r="A13" t="str">
        <f>Hyperlink("https://www.diodes.com/part/view/2N7002KQ","2N7002KQ")</f>
        <v>2N7002KQ</v>
      </c>
      <c r="B13" t="str">
        <f>Hyperlink("https://www.diodes.com/assets/Datasheets/2N7002KQ.pdf","2N7002KQ Datasheet")</f>
        <v>2N7002KQ Datasheet</v>
      </c>
      <c r="C13" t="s">
        <v>24</v>
      </c>
      <c r="D13" t="s">
        <v>25</v>
      </c>
      <c r="E13" t="s">
        <v>33</v>
      </c>
      <c r="F13" t="s">
        <v>27</v>
      </c>
      <c r="G13" t="s">
        <v>25</v>
      </c>
      <c r="H13">
        <v>60</v>
      </c>
      <c r="I13">
        <v>20</v>
      </c>
      <c r="J13">
        <v>0.38</v>
      </c>
      <c r="L13">
        <v>0.37</v>
      </c>
      <c r="N13">
        <v>2000</v>
      </c>
      <c r="O13">
        <v>3000</v>
      </c>
      <c r="S13">
        <v>2.5</v>
      </c>
      <c r="T13">
        <v>0.3</v>
      </c>
      <c r="X13" t="s">
        <v>32</v>
      </c>
    </row>
    <row r="14" spans="1:24">
      <c r="A14" t="str">
        <f>Hyperlink("https://www.diodes.com/part/view/2N7002Q","2N7002Q")</f>
        <v>2N7002Q</v>
      </c>
      <c r="B14" t="str">
        <f>Hyperlink("https://www.diodes.com/assets/Datasheets/2N7002Q.pdf","2N7002Q Datasheet")</f>
        <v>2N7002Q Datasheet</v>
      </c>
      <c r="C14" t="s">
        <v>40</v>
      </c>
      <c r="D14" t="s">
        <v>25</v>
      </c>
      <c r="E14" t="s">
        <v>33</v>
      </c>
      <c r="F14" t="s">
        <v>27</v>
      </c>
      <c r="G14" t="s">
        <v>28</v>
      </c>
      <c r="H14">
        <v>60</v>
      </c>
      <c r="I14">
        <v>20</v>
      </c>
      <c r="J14">
        <v>0.21</v>
      </c>
      <c r="L14">
        <v>0.54</v>
      </c>
      <c r="N14">
        <v>5000</v>
      </c>
      <c r="O14" t="s">
        <v>36</v>
      </c>
      <c r="S14">
        <v>2.5</v>
      </c>
      <c r="T14">
        <v>0.223</v>
      </c>
      <c r="V14">
        <v>22</v>
      </c>
      <c r="W14">
        <v>25</v>
      </c>
      <c r="X14" t="s">
        <v>32</v>
      </c>
    </row>
    <row r="15" spans="1:24">
      <c r="A15" t="str">
        <f>Hyperlink("https://www.diodes.com/part/view/2N7002T","2N7002T")</f>
        <v>2N7002T</v>
      </c>
      <c r="B15" t="str">
        <f>Hyperlink("https://www.diodes.com/assets/Datasheets/ds30301.pdf","2N7002T Datasheet")</f>
        <v>2N7002T Datasheet</v>
      </c>
      <c r="C15" t="s">
        <v>24</v>
      </c>
      <c r="D15" t="s">
        <v>25</v>
      </c>
      <c r="E15" t="s">
        <v>26</v>
      </c>
      <c r="F15" t="s">
        <v>27</v>
      </c>
      <c r="G15" t="s">
        <v>28</v>
      </c>
      <c r="H15">
        <v>60</v>
      </c>
      <c r="I15">
        <v>20</v>
      </c>
      <c r="J15">
        <v>0.115</v>
      </c>
      <c r="L15">
        <v>0.15</v>
      </c>
      <c r="N15">
        <v>13500</v>
      </c>
      <c r="O15" t="s">
        <v>36</v>
      </c>
      <c r="S15">
        <v>2</v>
      </c>
      <c r="V15" t="s">
        <v>29</v>
      </c>
      <c r="X15" t="s">
        <v>41</v>
      </c>
    </row>
    <row r="16" spans="1:24">
      <c r="A16" t="str">
        <f>Hyperlink("https://www.diodes.com/part/view/2N7002TQ","2N7002TQ")</f>
        <v>2N7002TQ</v>
      </c>
      <c r="B16" t="str">
        <f>Hyperlink("https://www.diodes.com/assets/Datasheets/2N7002TQ.pdf","2N7002TQ Datasheet")</f>
        <v>2N7002TQ Datasheet</v>
      </c>
      <c r="C16" t="s">
        <v>24</v>
      </c>
      <c r="D16" t="s">
        <v>25</v>
      </c>
      <c r="E16" t="s">
        <v>33</v>
      </c>
      <c r="F16" t="s">
        <v>27</v>
      </c>
      <c r="G16" t="s">
        <v>28</v>
      </c>
      <c r="H16">
        <v>60</v>
      </c>
      <c r="I16">
        <v>20</v>
      </c>
      <c r="J16">
        <v>0.115</v>
      </c>
      <c r="L16">
        <v>0.15</v>
      </c>
      <c r="N16">
        <v>13500</v>
      </c>
      <c r="O16" t="s">
        <v>36</v>
      </c>
      <c r="S16">
        <v>2</v>
      </c>
      <c r="V16">
        <v>22</v>
      </c>
      <c r="W16">
        <v>25</v>
      </c>
      <c r="X16" t="s">
        <v>41</v>
      </c>
    </row>
    <row r="17" spans="1:24">
      <c r="A17" t="str">
        <f>Hyperlink("https://www.diodes.com/part/view/2N7002VAC","2N7002VAC")</f>
        <v>2N7002VAC</v>
      </c>
      <c r="B17" t="str">
        <f>Hyperlink("https://www.diodes.com/assets/Datasheets/ds30639.pdf","2N7002VAC Datasheet")</f>
        <v>2N7002VAC Datasheet</v>
      </c>
      <c r="C17" t="s">
        <v>34</v>
      </c>
      <c r="D17" t="s">
        <v>25</v>
      </c>
      <c r="E17" t="s">
        <v>26</v>
      </c>
      <c r="F17" t="s">
        <v>35</v>
      </c>
      <c r="G17" t="s">
        <v>28</v>
      </c>
      <c r="H17">
        <v>60</v>
      </c>
      <c r="I17">
        <v>20</v>
      </c>
      <c r="J17">
        <v>0.28</v>
      </c>
      <c r="L17">
        <v>0.15</v>
      </c>
      <c r="N17">
        <v>13500</v>
      </c>
      <c r="O17" t="s">
        <v>36</v>
      </c>
      <c r="S17">
        <v>2.5</v>
      </c>
      <c r="V17" t="s">
        <v>42</v>
      </c>
      <c r="X17" t="s">
        <v>43</v>
      </c>
    </row>
    <row r="18" spans="1:24">
      <c r="A18" t="str">
        <f>Hyperlink("https://www.diodes.com/part/view/2N7002VC","2N7002VC")</f>
        <v>2N7002VC</v>
      </c>
      <c r="B18" t="str">
        <f>Hyperlink("https://www.diodes.com/assets/Datasheets/ds30639.pdf","2N7002VC Datasheet")</f>
        <v>2N7002VC Datasheet</v>
      </c>
      <c r="C18" t="s">
        <v>34</v>
      </c>
      <c r="D18" t="s">
        <v>25</v>
      </c>
      <c r="E18" t="s">
        <v>26</v>
      </c>
      <c r="F18" t="s">
        <v>35</v>
      </c>
      <c r="G18" t="s">
        <v>28</v>
      </c>
      <c r="H18">
        <v>60</v>
      </c>
      <c r="I18">
        <v>20</v>
      </c>
      <c r="J18">
        <v>0.28</v>
      </c>
      <c r="L18">
        <v>0.15</v>
      </c>
      <c r="N18">
        <v>13500</v>
      </c>
      <c r="O18" t="s">
        <v>36</v>
      </c>
      <c r="S18">
        <v>2.5</v>
      </c>
      <c r="V18" t="s">
        <v>42</v>
      </c>
      <c r="X18" t="s">
        <v>43</v>
      </c>
    </row>
    <row r="19" spans="1:24">
      <c r="A19" t="str">
        <f>Hyperlink("https://www.diodes.com/part/view/2N7002W","2N7002W")</f>
        <v>2N7002W</v>
      </c>
      <c r="B19" t="str">
        <f>Hyperlink("https://www.diodes.com/assets/Datasheets/2N7002W.pdf","2N7002W Datasheet")</f>
        <v>2N7002W Datasheet</v>
      </c>
      <c r="C19" t="s">
        <v>24</v>
      </c>
      <c r="D19" t="s">
        <v>25</v>
      </c>
      <c r="E19" t="s">
        <v>26</v>
      </c>
      <c r="F19" t="s">
        <v>27</v>
      </c>
      <c r="G19" t="s">
        <v>28</v>
      </c>
      <c r="H19">
        <v>60</v>
      </c>
      <c r="I19">
        <v>20</v>
      </c>
      <c r="J19">
        <v>0.115</v>
      </c>
      <c r="L19">
        <v>0.2</v>
      </c>
      <c r="N19">
        <v>13500</v>
      </c>
      <c r="O19" t="s">
        <v>36</v>
      </c>
      <c r="S19">
        <v>2</v>
      </c>
      <c r="V19" t="s">
        <v>29</v>
      </c>
      <c r="X19" t="s">
        <v>44</v>
      </c>
    </row>
    <row r="20" spans="1:24">
      <c r="A20" t="str">
        <f>Hyperlink("https://www.diodes.com/part/view/BS107P","BS107P")</f>
        <v>BS107P</v>
      </c>
      <c r="B20" t="str">
        <f>Hyperlink("https://www.diodes.com/assets/Datasheets/BS107P.pdf","BS107P Datasheet")</f>
        <v>BS107P Datasheet</v>
      </c>
      <c r="C20" t="s">
        <v>45</v>
      </c>
      <c r="D20" t="s">
        <v>25</v>
      </c>
      <c r="E20" t="s">
        <v>26</v>
      </c>
      <c r="F20" t="s">
        <v>27</v>
      </c>
      <c r="G20" t="s">
        <v>28</v>
      </c>
      <c r="H20">
        <v>200</v>
      </c>
      <c r="I20">
        <v>20</v>
      </c>
      <c r="J20">
        <v>0.12</v>
      </c>
      <c r="O20">
        <v>30000</v>
      </c>
      <c r="P20">
        <v>23000</v>
      </c>
      <c r="S20">
        <v>3</v>
      </c>
      <c r="U20">
        <v>2.7</v>
      </c>
      <c r="V20" t="s">
        <v>46</v>
      </c>
      <c r="X20" t="s">
        <v>47</v>
      </c>
    </row>
    <row r="21" spans="1:24">
      <c r="A21" t="str">
        <f>Hyperlink("https://www.diodes.com/part/view/BS170F","BS170F")</f>
        <v>BS170F</v>
      </c>
      <c r="B21" t="str">
        <f>Hyperlink("https://www.diodes.com/assets/Datasheets/BS170F.pdf","BS170F Datasheet")</f>
        <v>BS170F Datasheet</v>
      </c>
      <c r="C21" t="s">
        <v>24</v>
      </c>
      <c r="D21" t="s">
        <v>25</v>
      </c>
      <c r="E21" t="s">
        <v>26</v>
      </c>
      <c r="F21" t="s">
        <v>27</v>
      </c>
      <c r="G21" t="s">
        <v>28</v>
      </c>
      <c r="H21">
        <v>60</v>
      </c>
      <c r="I21">
        <v>20</v>
      </c>
      <c r="J21">
        <v>0.15</v>
      </c>
      <c r="L21">
        <v>0.33</v>
      </c>
      <c r="N21">
        <v>5000</v>
      </c>
      <c r="S21">
        <v>3</v>
      </c>
      <c r="V21" t="s">
        <v>48</v>
      </c>
      <c r="X21" t="s">
        <v>32</v>
      </c>
    </row>
    <row r="22" spans="1:24">
      <c r="A22" t="str">
        <f>Hyperlink("https://www.diodes.com/part/view/BS170P","BS170P")</f>
        <v>BS170P</v>
      </c>
      <c r="B22" t="str">
        <f>Hyperlink("https://www.diodes.com/assets/Datasheets/BS170P.pdf","BS170P Datasheet")</f>
        <v>BS170P Datasheet</v>
      </c>
      <c r="C22" t="s">
        <v>49</v>
      </c>
      <c r="D22" t="s">
        <v>28</v>
      </c>
      <c r="E22" t="s">
        <v>26</v>
      </c>
      <c r="F22" t="s">
        <v>27</v>
      </c>
      <c r="G22" t="s">
        <v>28</v>
      </c>
      <c r="H22">
        <v>60</v>
      </c>
      <c r="I22">
        <v>20</v>
      </c>
      <c r="J22">
        <v>0.27</v>
      </c>
      <c r="L22">
        <v>0.625</v>
      </c>
      <c r="N22">
        <v>5000</v>
      </c>
      <c r="S22">
        <v>3</v>
      </c>
      <c r="V22">
        <v>60</v>
      </c>
      <c r="W22">
        <v>10</v>
      </c>
      <c r="X22" t="s">
        <v>50</v>
      </c>
    </row>
    <row r="23" spans="1:24">
      <c r="A23" t="str">
        <f>Hyperlink("https://www.diodes.com/part/view/BS250F","BS250F")</f>
        <v>BS250F</v>
      </c>
      <c r="B23" t="str">
        <f>Hyperlink("https://www.diodes.com/assets/Datasheets/BS250F.pdf","BS250F Datasheet")</f>
        <v>BS250F Datasheet</v>
      </c>
      <c r="C23" t="s">
        <v>51</v>
      </c>
      <c r="D23" t="s">
        <v>25</v>
      </c>
      <c r="E23" t="s">
        <v>26</v>
      </c>
      <c r="F23" t="s">
        <v>52</v>
      </c>
      <c r="G23" t="s">
        <v>28</v>
      </c>
      <c r="H23">
        <v>45</v>
      </c>
      <c r="I23">
        <v>20</v>
      </c>
      <c r="J23">
        <v>0.09</v>
      </c>
      <c r="L23">
        <v>0.33</v>
      </c>
      <c r="N23">
        <v>14000</v>
      </c>
      <c r="S23">
        <v>3.5</v>
      </c>
      <c r="V23" t="s">
        <v>53</v>
      </c>
      <c r="X23" t="s">
        <v>32</v>
      </c>
    </row>
    <row r="24" spans="1:24">
      <c r="A24" t="str">
        <f>Hyperlink("https://www.diodes.com/part/view/BS250P","BS250P")</f>
        <v>BS250P</v>
      </c>
      <c r="B24" t="str">
        <f>Hyperlink("https://www.diodes.com/assets/Datasheets/BS250P.pdf","BS250P Datasheet")</f>
        <v>BS250P Datasheet</v>
      </c>
      <c r="C24" t="s">
        <v>54</v>
      </c>
      <c r="D24" t="s">
        <v>25</v>
      </c>
      <c r="E24" t="s">
        <v>26</v>
      </c>
      <c r="F24" t="s">
        <v>52</v>
      </c>
      <c r="G24" t="s">
        <v>28</v>
      </c>
      <c r="H24">
        <v>45</v>
      </c>
      <c r="I24">
        <v>20</v>
      </c>
      <c r="J24">
        <v>0.23</v>
      </c>
      <c r="L24">
        <v>0.7</v>
      </c>
      <c r="N24">
        <v>14000</v>
      </c>
      <c r="S24">
        <v>3.5</v>
      </c>
      <c r="V24" t="s">
        <v>55</v>
      </c>
      <c r="X24" t="s">
        <v>47</v>
      </c>
    </row>
    <row r="25" spans="1:24">
      <c r="A25" t="str">
        <f>Hyperlink("https://www.diodes.com/part/view/BS870","BS870")</f>
        <v>BS870</v>
      </c>
      <c r="B25" t="str">
        <f>Hyperlink("https://www.diodes.com/assets/Datasheets/ds11302.pdf","BS870 Datasheet")</f>
        <v>BS870 Datasheet</v>
      </c>
      <c r="C25" t="s">
        <v>24</v>
      </c>
      <c r="D25" t="s">
        <v>25</v>
      </c>
      <c r="E25" t="s">
        <v>26</v>
      </c>
      <c r="F25" t="s">
        <v>27</v>
      </c>
      <c r="G25" t="s">
        <v>28</v>
      </c>
      <c r="H25">
        <v>60</v>
      </c>
      <c r="I25">
        <v>20</v>
      </c>
      <c r="J25">
        <v>0.25</v>
      </c>
      <c r="L25">
        <v>0.3</v>
      </c>
      <c r="N25">
        <v>5000</v>
      </c>
      <c r="S25">
        <v>3</v>
      </c>
      <c r="V25" t="s">
        <v>56</v>
      </c>
      <c r="X25" t="s">
        <v>32</v>
      </c>
    </row>
    <row r="26" spans="1:24">
      <c r="A26" t="str">
        <f>Hyperlink("https://www.diodes.com/part/view/BS870Q","BS870Q")</f>
        <v>BS870Q</v>
      </c>
      <c r="B26" t="str">
        <f>Hyperlink("https://www.diodes.com/assets/Datasheets/BS870Q.pdf","BS870Q Datasheet")</f>
        <v>BS870Q Datasheet</v>
      </c>
      <c r="C26" t="s">
        <v>24</v>
      </c>
      <c r="D26" t="s">
        <v>25</v>
      </c>
      <c r="E26" t="s">
        <v>33</v>
      </c>
      <c r="F26" t="s">
        <v>27</v>
      </c>
      <c r="G26" t="s">
        <v>28</v>
      </c>
      <c r="H26">
        <v>60</v>
      </c>
      <c r="I26">
        <v>20</v>
      </c>
      <c r="J26">
        <v>0.25</v>
      </c>
      <c r="L26">
        <v>0.3</v>
      </c>
      <c r="N26">
        <v>5000</v>
      </c>
      <c r="S26">
        <v>3</v>
      </c>
      <c r="V26">
        <v>50</v>
      </c>
      <c r="W26">
        <v>10</v>
      </c>
      <c r="X26" t="s">
        <v>32</v>
      </c>
    </row>
    <row r="27" spans="1:24">
      <c r="A27" t="str">
        <f>Hyperlink("https://www.diodes.com/part/view/BSN20","BSN20")</f>
        <v>BSN20</v>
      </c>
      <c r="B27" t="str">
        <f>Hyperlink("https://www.diodes.com/assets/Datasheets/ds31898.pdf","BSN20 Datasheet")</f>
        <v>BSN20 Datasheet</v>
      </c>
      <c r="C27" t="s">
        <v>24</v>
      </c>
      <c r="D27" t="s">
        <v>25</v>
      </c>
      <c r="E27" t="s">
        <v>26</v>
      </c>
      <c r="F27" t="s">
        <v>27</v>
      </c>
      <c r="G27" t="s">
        <v>28</v>
      </c>
      <c r="H27">
        <v>50</v>
      </c>
      <c r="I27">
        <v>20</v>
      </c>
      <c r="J27">
        <v>0.5</v>
      </c>
      <c r="L27">
        <v>0.6</v>
      </c>
      <c r="N27">
        <v>1800</v>
      </c>
      <c r="O27">
        <v>2000</v>
      </c>
      <c r="S27">
        <v>1.5</v>
      </c>
      <c r="U27">
        <v>0.8</v>
      </c>
      <c r="V27" t="s">
        <v>57</v>
      </c>
      <c r="X27" t="s">
        <v>32</v>
      </c>
    </row>
    <row r="28" spans="1:24">
      <c r="A28" t="str">
        <f>Hyperlink("https://www.diodes.com/part/view/BSS123","BSS123")</f>
        <v>BSS123</v>
      </c>
      <c r="B28" t="str">
        <f>Hyperlink("https://www.diodes.com/assets/Datasheets/ds30366.pdf","BSS123 Datasheet")</f>
        <v>BSS123 Datasheet</v>
      </c>
      <c r="C28" t="s">
        <v>24</v>
      </c>
      <c r="D28" t="s">
        <v>25</v>
      </c>
      <c r="E28" t="s">
        <v>26</v>
      </c>
      <c r="F28" t="s">
        <v>27</v>
      </c>
      <c r="G28" t="s">
        <v>28</v>
      </c>
      <c r="H28">
        <v>100</v>
      </c>
      <c r="I28">
        <v>20</v>
      </c>
      <c r="J28">
        <v>0.17</v>
      </c>
      <c r="L28">
        <v>0.3</v>
      </c>
      <c r="N28">
        <v>6000</v>
      </c>
      <c r="O28">
        <v>10000</v>
      </c>
      <c r="S28">
        <v>2</v>
      </c>
      <c r="V28" t="s">
        <v>29</v>
      </c>
      <c r="X28" t="s">
        <v>32</v>
      </c>
    </row>
    <row r="29" spans="1:24">
      <c r="A29" t="str">
        <f>Hyperlink("https://www.diodes.com/part/view/BSS123%28Z%29","BSS123(Z)")</f>
        <v>BSS123(Z)</v>
      </c>
      <c r="B29" t="str">
        <f>Hyperlink("https://www.diodes.com/assets/Datasheets/BSS123Z.pdf","BSS123(Z) Datasheet")</f>
        <v>BSS123(Z) Datasheet</v>
      </c>
      <c r="C29" t="s">
        <v>24</v>
      </c>
      <c r="D29" t="s">
        <v>25</v>
      </c>
      <c r="E29" t="s">
        <v>26</v>
      </c>
      <c r="F29" t="s">
        <v>27</v>
      </c>
      <c r="G29" t="s">
        <v>28</v>
      </c>
      <c r="H29">
        <v>100</v>
      </c>
      <c r="I29">
        <v>20</v>
      </c>
      <c r="J29">
        <v>0.17</v>
      </c>
      <c r="L29">
        <v>0.36</v>
      </c>
      <c r="N29">
        <v>6000</v>
      </c>
      <c r="S29">
        <v>2.8</v>
      </c>
      <c r="V29" t="s">
        <v>58</v>
      </c>
      <c r="X29" t="s">
        <v>32</v>
      </c>
    </row>
    <row r="30" spans="1:24">
      <c r="A30" t="str">
        <f>Hyperlink("https://www.diodes.com/part/view/BSS123K","BSS123K")</f>
        <v>BSS123K</v>
      </c>
      <c r="B30" t="str">
        <f>Hyperlink("https://www.diodes.com/assets/Datasheets/BSS123K.pdf","BSS123K Datasheet")</f>
        <v>BSS123K Datasheet</v>
      </c>
      <c r="C30" t="s">
        <v>24</v>
      </c>
      <c r="D30" t="s">
        <v>28</v>
      </c>
      <c r="E30" t="s">
        <v>26</v>
      </c>
      <c r="F30" t="s">
        <v>27</v>
      </c>
      <c r="G30" t="s">
        <v>25</v>
      </c>
      <c r="H30">
        <v>100</v>
      </c>
      <c r="I30">
        <v>20</v>
      </c>
      <c r="J30">
        <v>0.23</v>
      </c>
      <c r="L30">
        <v>0.7</v>
      </c>
      <c r="N30">
        <v>6000</v>
      </c>
      <c r="O30">
        <v>10000</v>
      </c>
      <c r="S30">
        <v>2</v>
      </c>
      <c r="T30">
        <v>0.7</v>
      </c>
      <c r="U30">
        <v>1.3</v>
      </c>
      <c r="V30">
        <v>38</v>
      </c>
      <c r="W30">
        <v>50</v>
      </c>
      <c r="X30" t="s">
        <v>32</v>
      </c>
    </row>
    <row r="31" spans="1:24">
      <c r="A31" t="str">
        <f>Hyperlink("https://www.diodes.com/part/view/BSS123Q","BSS123Q")</f>
        <v>BSS123Q</v>
      </c>
      <c r="B31" t="str">
        <f>Hyperlink("https://www.diodes.com/assets/Datasheets/BSS123Q.pdf","BSS123Q Datasheet")</f>
        <v>BSS123Q Datasheet</v>
      </c>
      <c r="C31" t="s">
        <v>24</v>
      </c>
      <c r="D31" t="s">
        <v>25</v>
      </c>
      <c r="E31" t="s">
        <v>33</v>
      </c>
      <c r="F31" t="s">
        <v>27</v>
      </c>
      <c r="G31" t="s">
        <v>28</v>
      </c>
      <c r="H31">
        <v>100</v>
      </c>
      <c r="I31">
        <v>20</v>
      </c>
      <c r="J31">
        <v>0.17</v>
      </c>
      <c r="L31">
        <v>0.3</v>
      </c>
      <c r="N31">
        <v>6000</v>
      </c>
      <c r="O31">
        <v>10000</v>
      </c>
      <c r="S31">
        <v>2</v>
      </c>
      <c r="V31">
        <v>22</v>
      </c>
      <c r="W31">
        <v>25</v>
      </c>
      <c r="X31" t="s">
        <v>32</v>
      </c>
    </row>
    <row r="32" spans="1:24">
      <c r="A32" t="str">
        <f>Hyperlink("https://www.diodes.com/part/view/BSS123W","BSS123W")</f>
        <v>BSS123W</v>
      </c>
      <c r="B32" t="str">
        <f>Hyperlink("https://www.diodes.com/assets/Datasheets/ds30368.pdf","BSS123W Datasheet")</f>
        <v>BSS123W Datasheet</v>
      </c>
      <c r="C32" t="s">
        <v>24</v>
      </c>
      <c r="D32" t="s">
        <v>25</v>
      </c>
      <c r="E32" t="s">
        <v>26</v>
      </c>
      <c r="F32" t="s">
        <v>27</v>
      </c>
      <c r="G32" t="s">
        <v>28</v>
      </c>
      <c r="H32">
        <v>100</v>
      </c>
      <c r="I32">
        <v>20</v>
      </c>
      <c r="J32">
        <v>0.17</v>
      </c>
      <c r="L32">
        <v>0.2</v>
      </c>
      <c r="N32">
        <v>6000</v>
      </c>
      <c r="O32">
        <v>10000</v>
      </c>
      <c r="S32">
        <v>2</v>
      </c>
      <c r="V32" t="s">
        <v>59</v>
      </c>
      <c r="X32" t="s">
        <v>60</v>
      </c>
    </row>
    <row r="33" spans="1:24">
      <c r="A33" t="str">
        <f>Hyperlink("https://www.diodes.com/part/view/BSS123WQ","BSS123WQ")</f>
        <v>BSS123WQ</v>
      </c>
      <c r="B33" t="str">
        <f>Hyperlink("https://www.diodes.com/assets/Datasheets/BSS123WQ.pdf","BSS123WQ Datasheet")</f>
        <v>BSS123WQ Datasheet</v>
      </c>
      <c r="C33" t="s">
        <v>24</v>
      </c>
      <c r="D33" t="s">
        <v>25</v>
      </c>
      <c r="E33" t="s">
        <v>33</v>
      </c>
      <c r="F33" t="s">
        <v>27</v>
      </c>
      <c r="G33" t="s">
        <v>28</v>
      </c>
      <c r="H33">
        <v>100</v>
      </c>
      <c r="I33">
        <v>20</v>
      </c>
      <c r="J33">
        <v>0.17</v>
      </c>
      <c r="L33">
        <v>0.2</v>
      </c>
      <c r="N33">
        <v>6000</v>
      </c>
      <c r="O33">
        <v>10000</v>
      </c>
      <c r="S33">
        <v>2</v>
      </c>
      <c r="X33" t="s">
        <v>60</v>
      </c>
    </row>
    <row r="34" spans="1:24">
      <c r="A34" t="str">
        <f>Hyperlink("https://www.diodes.com/part/view/BSS127S","BSS127S")</f>
        <v>BSS127S</v>
      </c>
      <c r="B34" t="str">
        <f>Hyperlink("https://www.diodes.com/assets/Datasheets/BSS127.pdf","BSS127S Datasheet")</f>
        <v>BSS127S Datasheet</v>
      </c>
      <c r="C34" t="s">
        <v>24</v>
      </c>
      <c r="D34" t="s">
        <v>25</v>
      </c>
      <c r="E34" t="s">
        <v>26</v>
      </c>
      <c r="F34" t="s">
        <v>27</v>
      </c>
      <c r="G34" t="s">
        <v>28</v>
      </c>
      <c r="H34">
        <v>600</v>
      </c>
      <c r="I34">
        <v>20</v>
      </c>
      <c r="J34">
        <v>0.07</v>
      </c>
      <c r="L34">
        <v>0.61</v>
      </c>
      <c r="N34">
        <v>160000</v>
      </c>
      <c r="O34">
        <v>190000</v>
      </c>
      <c r="S34">
        <v>4.5</v>
      </c>
      <c r="U34">
        <v>1.08</v>
      </c>
      <c r="V34" t="s">
        <v>61</v>
      </c>
      <c r="X34" t="s">
        <v>32</v>
      </c>
    </row>
    <row r="35" spans="1:24">
      <c r="A35" t="str">
        <f>Hyperlink("https://www.diodes.com/part/view/BSS127SSN","BSS127SSN")</f>
        <v>BSS127SSN</v>
      </c>
      <c r="B35" t="str">
        <f>Hyperlink("https://www.diodes.com/assets/Datasheets/BSS127.pdf","BSS127SSN Datasheet")</f>
        <v>BSS127SSN Datasheet</v>
      </c>
      <c r="C35" t="s">
        <v>62</v>
      </c>
      <c r="D35" t="s">
        <v>25</v>
      </c>
      <c r="E35" t="s">
        <v>26</v>
      </c>
      <c r="F35" t="s">
        <v>27</v>
      </c>
      <c r="G35" t="s">
        <v>28</v>
      </c>
      <c r="H35">
        <v>600</v>
      </c>
      <c r="I35">
        <v>20</v>
      </c>
      <c r="J35">
        <v>0.07</v>
      </c>
      <c r="L35">
        <v>0.61</v>
      </c>
      <c r="N35">
        <v>160000</v>
      </c>
      <c r="O35">
        <v>190000</v>
      </c>
      <c r="S35">
        <v>4.5</v>
      </c>
      <c r="U35">
        <v>1.08</v>
      </c>
      <c r="V35" t="s">
        <v>61</v>
      </c>
      <c r="X35" t="s">
        <v>63</v>
      </c>
    </row>
    <row r="36" spans="1:24">
      <c r="A36" t="str">
        <f>Hyperlink("https://www.diodes.com/part/view/BSS138","BSS138")</f>
        <v>BSS138</v>
      </c>
      <c r="B36" t="str">
        <f>Hyperlink("https://www.diodes.com/assets/Datasheets/BSS138.pdf","BSS138 Datasheet")</f>
        <v>BSS138 Datasheet</v>
      </c>
      <c r="C36" t="s">
        <v>24</v>
      </c>
      <c r="D36" t="s">
        <v>25</v>
      </c>
      <c r="E36" t="s">
        <v>26</v>
      </c>
      <c r="F36" t="s">
        <v>27</v>
      </c>
      <c r="G36" t="s">
        <v>28</v>
      </c>
      <c r="H36">
        <v>50</v>
      </c>
      <c r="I36">
        <v>20</v>
      </c>
      <c r="J36">
        <v>0.2</v>
      </c>
      <c r="L36">
        <v>0.3</v>
      </c>
      <c r="N36">
        <v>3500</v>
      </c>
      <c r="S36">
        <v>1.5</v>
      </c>
      <c r="V36" t="s">
        <v>64</v>
      </c>
      <c r="X36" t="s">
        <v>30</v>
      </c>
    </row>
    <row r="37" spans="1:24">
      <c r="A37" t="str">
        <f>Hyperlink("https://www.diodes.com/part/view/BSS138DW","BSS138DW")</f>
        <v>BSS138DW</v>
      </c>
      <c r="B37" t="str">
        <f>Hyperlink("https://www.diodes.com/assets/Datasheets/ds30203.pdf","BSS138DW Datasheet")</f>
        <v>BSS138DW Datasheet</v>
      </c>
      <c r="C37" t="s">
        <v>34</v>
      </c>
      <c r="D37" t="s">
        <v>25</v>
      </c>
      <c r="E37" t="s">
        <v>26</v>
      </c>
      <c r="F37" t="s">
        <v>35</v>
      </c>
      <c r="G37" t="s">
        <v>28</v>
      </c>
      <c r="H37">
        <v>50</v>
      </c>
      <c r="I37">
        <v>20</v>
      </c>
      <c r="J37">
        <v>0.2</v>
      </c>
      <c r="L37">
        <v>0.2</v>
      </c>
      <c r="N37">
        <v>3500</v>
      </c>
      <c r="S37">
        <v>1.5</v>
      </c>
      <c r="V37" t="s">
        <v>65</v>
      </c>
      <c r="X37" t="s">
        <v>66</v>
      </c>
    </row>
    <row r="38" spans="1:24">
      <c r="A38" t="str">
        <f>Hyperlink("https://www.diodes.com/part/view/BSS138DWK","BSS138DWK")</f>
        <v>BSS138DWK</v>
      </c>
      <c r="B38" t="str">
        <f>Hyperlink("https://www.diodes.com/assets/Datasheets/BSS138DWK.pdf","BSS138DWK Datasheet")</f>
        <v>BSS138DWK Datasheet</v>
      </c>
      <c r="C38" t="s">
        <v>67</v>
      </c>
      <c r="D38" t="s">
        <v>25</v>
      </c>
      <c r="E38" t="s">
        <v>26</v>
      </c>
      <c r="F38" t="s">
        <v>35</v>
      </c>
      <c r="G38" t="s">
        <v>25</v>
      </c>
      <c r="H38">
        <v>50</v>
      </c>
      <c r="I38">
        <v>20</v>
      </c>
      <c r="J38">
        <v>0.31</v>
      </c>
      <c r="L38">
        <v>0.49</v>
      </c>
      <c r="N38">
        <v>2600</v>
      </c>
      <c r="O38">
        <v>3200</v>
      </c>
      <c r="P38">
        <v>5200</v>
      </c>
      <c r="R38">
        <v>0.5</v>
      </c>
      <c r="S38">
        <v>1.5</v>
      </c>
      <c r="T38">
        <v>0.4</v>
      </c>
      <c r="U38">
        <v>0.8</v>
      </c>
      <c r="V38">
        <v>22</v>
      </c>
      <c r="W38">
        <v>25</v>
      </c>
      <c r="X38" t="s">
        <v>37</v>
      </c>
    </row>
    <row r="39" spans="1:24">
      <c r="A39" t="str">
        <f>Hyperlink("https://www.diodes.com/part/view/BSS138DWQ","BSS138DWQ")</f>
        <v>BSS138DWQ</v>
      </c>
      <c r="B39" t="str">
        <f>Hyperlink("https://www.diodes.com/assets/Datasheets/BSS138DWQ.pdf","BSS138DWQ Datasheet")</f>
        <v>BSS138DWQ Datasheet</v>
      </c>
      <c r="C39" t="s">
        <v>34</v>
      </c>
      <c r="D39" t="s">
        <v>25</v>
      </c>
      <c r="E39" t="s">
        <v>33</v>
      </c>
      <c r="F39" t="s">
        <v>35</v>
      </c>
      <c r="G39" t="s">
        <v>28</v>
      </c>
      <c r="H39">
        <v>50</v>
      </c>
      <c r="I39">
        <v>20</v>
      </c>
      <c r="J39">
        <v>0.2</v>
      </c>
      <c r="L39">
        <v>0.2</v>
      </c>
      <c r="N39">
        <v>3500</v>
      </c>
      <c r="S39">
        <v>1.5</v>
      </c>
      <c r="W39">
        <v>10</v>
      </c>
      <c r="X39" t="s">
        <v>37</v>
      </c>
    </row>
    <row r="40" spans="1:24">
      <c r="A40" t="str">
        <f>Hyperlink("https://www.diodes.com/part/view/BSS138K","BSS138K")</f>
        <v>BSS138K</v>
      </c>
      <c r="B40" t="str">
        <f>Hyperlink("https://www.diodes.com/assets/Datasheets/BSS138K.pdf","BSS138K Datasheet")</f>
        <v>BSS138K Datasheet</v>
      </c>
      <c r="C40" t="s">
        <v>67</v>
      </c>
      <c r="D40" t="s">
        <v>28</v>
      </c>
      <c r="E40" t="s">
        <v>26</v>
      </c>
      <c r="F40" t="s">
        <v>27</v>
      </c>
      <c r="G40" t="s">
        <v>25</v>
      </c>
      <c r="H40">
        <v>50</v>
      </c>
      <c r="I40">
        <v>20</v>
      </c>
      <c r="J40">
        <v>0.31</v>
      </c>
      <c r="L40">
        <v>0.54</v>
      </c>
      <c r="N40">
        <v>3500</v>
      </c>
      <c r="S40">
        <v>1.5</v>
      </c>
      <c r="T40">
        <v>0.45</v>
      </c>
      <c r="U40">
        <v>0.95</v>
      </c>
      <c r="V40">
        <v>23.2</v>
      </c>
      <c r="W40">
        <v>25</v>
      </c>
      <c r="X40" t="s">
        <v>32</v>
      </c>
    </row>
    <row r="41" spans="1:24">
      <c r="A41" t="str">
        <f>Hyperlink("https://www.diodes.com/part/view/BSS138Q","BSS138Q")</f>
        <v>BSS138Q</v>
      </c>
      <c r="B41" t="str">
        <f>Hyperlink("https://www.diodes.com/assets/Datasheets/BSS138Q.pdf","BSS138Q Datasheet")</f>
        <v>BSS138Q Datasheet</v>
      </c>
      <c r="C41" t="s">
        <v>67</v>
      </c>
      <c r="D41" t="s">
        <v>25</v>
      </c>
      <c r="E41" t="s">
        <v>33</v>
      </c>
      <c r="F41" t="s">
        <v>27</v>
      </c>
      <c r="G41" t="s">
        <v>28</v>
      </c>
      <c r="H41">
        <v>50</v>
      </c>
      <c r="I41">
        <v>20</v>
      </c>
      <c r="J41">
        <v>0.2</v>
      </c>
      <c r="L41">
        <v>0.3</v>
      </c>
      <c r="N41">
        <v>3500</v>
      </c>
      <c r="S41">
        <v>1.5</v>
      </c>
      <c r="X41" t="s">
        <v>32</v>
      </c>
    </row>
    <row r="42" spans="1:24">
      <c r="A42" t="str">
        <f>Hyperlink("https://www.diodes.com/part/view/BSS138W","BSS138W")</f>
        <v>BSS138W</v>
      </c>
      <c r="B42" t="str">
        <f>Hyperlink("https://www.diodes.com/assets/Datasheets/BSS138W.pdf","BSS138W Datasheet")</f>
        <v>BSS138W Datasheet</v>
      </c>
      <c r="C42" t="s">
        <v>24</v>
      </c>
      <c r="D42" t="s">
        <v>25</v>
      </c>
      <c r="E42" t="s">
        <v>26</v>
      </c>
      <c r="F42" t="s">
        <v>27</v>
      </c>
      <c r="G42" t="s">
        <v>28</v>
      </c>
      <c r="H42">
        <v>50</v>
      </c>
      <c r="I42">
        <v>20</v>
      </c>
      <c r="J42">
        <v>0.2</v>
      </c>
      <c r="L42">
        <v>0.2</v>
      </c>
      <c r="N42">
        <v>3500</v>
      </c>
      <c r="S42">
        <v>1.5</v>
      </c>
      <c r="V42" t="s">
        <v>64</v>
      </c>
      <c r="X42" t="s">
        <v>44</v>
      </c>
    </row>
    <row r="43" spans="1:24">
      <c r="A43" t="str">
        <f>Hyperlink("https://www.diodes.com/part/view/BSS138WQ","BSS138WQ")</f>
        <v>BSS138WQ</v>
      </c>
      <c r="B43" t="str">
        <f>Hyperlink("https://www.diodes.com/assets/Datasheets/BSS138WQ.pdf","BSS138WQ Datasheet")</f>
        <v>BSS138WQ Datasheet</v>
      </c>
      <c r="C43" t="s">
        <v>67</v>
      </c>
      <c r="D43" t="s">
        <v>25</v>
      </c>
      <c r="E43" t="s">
        <v>33</v>
      </c>
      <c r="F43" t="s">
        <v>27</v>
      </c>
      <c r="G43" t="s">
        <v>28</v>
      </c>
      <c r="H43">
        <v>50</v>
      </c>
      <c r="I43">
        <v>20</v>
      </c>
      <c r="J43">
        <v>0.28</v>
      </c>
      <c r="L43">
        <v>0.5</v>
      </c>
      <c r="N43">
        <v>3500</v>
      </c>
      <c r="S43">
        <v>1.5</v>
      </c>
      <c r="U43">
        <v>1.5</v>
      </c>
      <c r="V43">
        <v>48</v>
      </c>
      <c r="W43">
        <v>25</v>
      </c>
      <c r="X43" t="s">
        <v>60</v>
      </c>
    </row>
    <row r="44" spans="1:24">
      <c r="A44" t="str">
        <f>Hyperlink("https://www.diodes.com/part/view/BSS84","BSS84")</f>
        <v>BSS84</v>
      </c>
      <c r="B44" t="str">
        <f>Hyperlink("https://www.diodes.com/assets/Datasheets/BSS84.pdf","BSS84 Datasheet")</f>
        <v>BSS84 Datasheet</v>
      </c>
      <c r="C44" t="s">
        <v>51</v>
      </c>
      <c r="D44" t="s">
        <v>25</v>
      </c>
      <c r="E44" t="s">
        <v>26</v>
      </c>
      <c r="F44" t="s">
        <v>52</v>
      </c>
      <c r="G44" t="s">
        <v>28</v>
      </c>
      <c r="H44">
        <v>50</v>
      </c>
      <c r="I44">
        <v>20</v>
      </c>
      <c r="J44">
        <v>0.13</v>
      </c>
      <c r="L44">
        <v>0.3</v>
      </c>
      <c r="O44">
        <v>10000</v>
      </c>
      <c r="S44">
        <v>2</v>
      </c>
      <c r="V44">
        <v>24.6</v>
      </c>
      <c r="X44" t="s">
        <v>30</v>
      </c>
    </row>
    <row r="45" spans="1:24">
      <c r="A45" t="str">
        <f>Hyperlink("https://www.diodes.com/part/view/BSS8402DW","BSS8402DW")</f>
        <v>BSS8402DW</v>
      </c>
      <c r="B45" t="str">
        <f>Hyperlink("https://www.diodes.com/assets/Datasheets/ds30380.pdf","BSS8402DW Datasheet")</f>
        <v>BSS8402DW Datasheet</v>
      </c>
      <c r="C45" t="s">
        <v>68</v>
      </c>
      <c r="D45" t="s">
        <v>25</v>
      </c>
      <c r="E45" t="s">
        <v>26</v>
      </c>
      <c r="F45" t="s">
        <v>69</v>
      </c>
      <c r="G45" t="s">
        <v>28</v>
      </c>
      <c r="H45" t="s">
        <v>70</v>
      </c>
      <c r="I45" t="s">
        <v>71</v>
      </c>
      <c r="J45" t="s">
        <v>72</v>
      </c>
      <c r="L45">
        <v>0.2</v>
      </c>
      <c r="O45" t="s">
        <v>73</v>
      </c>
      <c r="S45" t="s">
        <v>74</v>
      </c>
      <c r="V45" t="s">
        <v>75</v>
      </c>
      <c r="W45" t="s">
        <v>76</v>
      </c>
      <c r="X45" t="s">
        <v>37</v>
      </c>
    </row>
    <row r="46" spans="1:24">
      <c r="A46" t="str">
        <f>Hyperlink("https://www.diodes.com/part/view/BSS84DW","BSS84DW")</f>
        <v>BSS84DW</v>
      </c>
      <c r="B46" t="str">
        <f>Hyperlink("https://www.diodes.com/assets/Datasheets/BSS84DW.pdf","BSS84DW Datasheet")</f>
        <v>BSS84DW Datasheet</v>
      </c>
      <c r="C46" t="s">
        <v>77</v>
      </c>
      <c r="D46" t="s">
        <v>25</v>
      </c>
      <c r="E46" t="s">
        <v>26</v>
      </c>
      <c r="F46" t="s">
        <v>78</v>
      </c>
      <c r="G46" t="s">
        <v>28</v>
      </c>
      <c r="H46">
        <v>50</v>
      </c>
      <c r="I46">
        <v>20</v>
      </c>
      <c r="J46">
        <v>0.13</v>
      </c>
      <c r="L46">
        <v>0.3</v>
      </c>
      <c r="O46">
        <v>10000</v>
      </c>
      <c r="S46">
        <v>2</v>
      </c>
      <c r="V46" t="s">
        <v>79</v>
      </c>
      <c r="X46" t="s">
        <v>66</v>
      </c>
    </row>
    <row r="47" spans="1:24">
      <c r="A47" t="str">
        <f>Hyperlink("https://www.diodes.com/part/view/BSS84DWQ","BSS84DWQ")</f>
        <v>BSS84DWQ</v>
      </c>
      <c r="B47" t="str">
        <f>Hyperlink("https://www.diodes.com/assets/Datasheets/BSS84DWQ.pdf","BSS84DWQ Datasheet")</f>
        <v>BSS84DWQ Datasheet</v>
      </c>
      <c r="C47" t="s">
        <v>80</v>
      </c>
      <c r="D47" t="s">
        <v>25</v>
      </c>
      <c r="E47" t="s">
        <v>33</v>
      </c>
      <c r="F47" t="s">
        <v>78</v>
      </c>
      <c r="G47" t="s">
        <v>28</v>
      </c>
      <c r="H47">
        <v>50</v>
      </c>
      <c r="I47">
        <v>20</v>
      </c>
      <c r="J47">
        <v>0.13</v>
      </c>
      <c r="L47">
        <v>0.3</v>
      </c>
      <c r="O47" t="s">
        <v>81</v>
      </c>
      <c r="S47">
        <v>2</v>
      </c>
      <c r="W47">
        <v>25</v>
      </c>
      <c r="X47" t="s">
        <v>37</v>
      </c>
    </row>
    <row r="48" spans="1:24">
      <c r="A48" t="str">
        <f>Hyperlink("https://www.diodes.com/part/view/BSS84Q","BSS84Q")</f>
        <v>BSS84Q</v>
      </c>
      <c r="B48" t="str">
        <f>Hyperlink("https://www.diodes.com/assets/Datasheets/BSS84Q.pdf","BSS84Q Datasheet")</f>
        <v>BSS84Q Datasheet</v>
      </c>
      <c r="C48" t="s">
        <v>51</v>
      </c>
      <c r="D48" t="s">
        <v>25</v>
      </c>
      <c r="E48" t="s">
        <v>33</v>
      </c>
      <c r="F48" t="s">
        <v>52</v>
      </c>
      <c r="G48" t="s">
        <v>28</v>
      </c>
      <c r="H48">
        <v>50</v>
      </c>
      <c r="I48">
        <v>20</v>
      </c>
      <c r="J48">
        <v>0.13</v>
      </c>
      <c r="L48">
        <v>0.3</v>
      </c>
      <c r="O48" t="s">
        <v>81</v>
      </c>
      <c r="S48">
        <v>2</v>
      </c>
      <c r="V48">
        <v>24.6</v>
      </c>
      <c r="W48">
        <v>25</v>
      </c>
      <c r="X48" t="s">
        <v>32</v>
      </c>
    </row>
    <row r="49" spans="1:24">
      <c r="A49" t="str">
        <f>Hyperlink("https://www.diodes.com/part/view/BSS84W","BSS84W")</f>
        <v>BSS84W</v>
      </c>
      <c r="B49" t="str">
        <f>Hyperlink("https://www.diodes.com/assets/Datasheets/BSS84W.pdf","BSS84W Datasheet")</f>
        <v>BSS84W Datasheet</v>
      </c>
      <c r="C49" t="s">
        <v>51</v>
      </c>
      <c r="D49" t="s">
        <v>25</v>
      </c>
      <c r="E49" t="s">
        <v>26</v>
      </c>
      <c r="F49" t="s">
        <v>52</v>
      </c>
      <c r="G49" t="s">
        <v>28</v>
      </c>
      <c r="H49">
        <v>50</v>
      </c>
      <c r="I49">
        <v>20</v>
      </c>
      <c r="J49">
        <v>0.13</v>
      </c>
      <c r="L49">
        <v>0.2</v>
      </c>
      <c r="O49">
        <v>10000</v>
      </c>
      <c r="S49">
        <v>2</v>
      </c>
      <c r="V49" t="s">
        <v>79</v>
      </c>
      <c r="X49" t="s">
        <v>44</v>
      </c>
    </row>
    <row r="50" spans="1:24">
      <c r="A50" t="str">
        <f>Hyperlink("https://www.diodes.com/part/view/BSS84WQ","BSS84WQ")</f>
        <v>BSS84WQ</v>
      </c>
      <c r="B50" t="str">
        <f>Hyperlink("https://www.diodes.com/assets/Datasheets/BSS84WQ.pdf","BSS84WQ Datasheet")</f>
        <v>BSS84WQ Datasheet</v>
      </c>
      <c r="C50" t="s">
        <v>82</v>
      </c>
      <c r="D50" t="s">
        <v>25</v>
      </c>
      <c r="E50" t="s">
        <v>33</v>
      </c>
      <c r="F50" t="s">
        <v>52</v>
      </c>
      <c r="G50" t="s">
        <v>28</v>
      </c>
      <c r="H50">
        <v>50</v>
      </c>
      <c r="I50">
        <v>20</v>
      </c>
      <c r="J50">
        <v>0.164</v>
      </c>
      <c r="L50">
        <v>0.41</v>
      </c>
      <c r="O50">
        <v>10000</v>
      </c>
      <c r="S50">
        <v>2</v>
      </c>
      <c r="W50">
        <v>25</v>
      </c>
      <c r="X50" t="s">
        <v>60</v>
      </c>
    </row>
    <row r="51" spans="1:24">
      <c r="A51" t="str">
        <f>Hyperlink("https://www.diodes.com/part/view/DMC1015UPD","DMC1015UPD")</f>
        <v>DMC1015UPD</v>
      </c>
      <c r="B51" t="str">
        <f>Hyperlink("https://www.diodes.com/assets/Datasheets/DMC1015UPD.pdf","DMC1015UPD Datasheet")</f>
        <v>DMC1015UPD Datasheet</v>
      </c>
      <c r="C51" t="s">
        <v>68</v>
      </c>
      <c r="D51" t="s">
        <v>25</v>
      </c>
      <c r="E51" t="s">
        <v>26</v>
      </c>
      <c r="F51" t="s">
        <v>69</v>
      </c>
      <c r="G51" t="s">
        <v>28</v>
      </c>
      <c r="H51" t="s">
        <v>83</v>
      </c>
      <c r="I51" t="s">
        <v>84</v>
      </c>
      <c r="J51" t="s">
        <v>85</v>
      </c>
      <c r="L51">
        <v>2.3</v>
      </c>
      <c r="O51" t="s">
        <v>86</v>
      </c>
      <c r="P51" t="s">
        <v>87</v>
      </c>
      <c r="R51" t="s">
        <v>88</v>
      </c>
      <c r="S51" t="s">
        <v>89</v>
      </c>
      <c r="T51" t="s">
        <v>90</v>
      </c>
      <c r="V51" t="s">
        <v>91</v>
      </c>
      <c r="W51" t="s">
        <v>92</v>
      </c>
      <c r="X51" t="s">
        <v>93</v>
      </c>
    </row>
    <row r="52" spans="1:24">
      <c r="A52" t="str">
        <f>Hyperlink("https://www.diodes.com/part/view/DMC1016UPD","DMC1016UPD")</f>
        <v>DMC1016UPD</v>
      </c>
      <c r="B52" t="str">
        <f>Hyperlink("https://www.diodes.com/assets/Datasheets/DMC1016UPD.pdf","DMC1016UPD Datasheet")</f>
        <v>DMC1016UPD Datasheet</v>
      </c>
      <c r="C52" t="s">
        <v>68</v>
      </c>
      <c r="D52" t="s">
        <v>25</v>
      </c>
      <c r="E52" t="s">
        <v>26</v>
      </c>
      <c r="F52" t="s">
        <v>69</v>
      </c>
      <c r="G52" t="s">
        <v>94</v>
      </c>
      <c r="H52" t="s">
        <v>83</v>
      </c>
      <c r="I52" t="s">
        <v>84</v>
      </c>
      <c r="J52" t="s">
        <v>95</v>
      </c>
      <c r="L52">
        <v>2.3</v>
      </c>
      <c r="O52" t="s">
        <v>96</v>
      </c>
      <c r="P52" t="s">
        <v>97</v>
      </c>
      <c r="Q52" t="s">
        <v>98</v>
      </c>
      <c r="R52" t="s">
        <v>99</v>
      </c>
      <c r="S52" t="s">
        <v>100</v>
      </c>
      <c r="T52" t="s">
        <v>101</v>
      </c>
      <c r="V52" t="s">
        <v>102</v>
      </c>
      <c r="W52" t="s">
        <v>103</v>
      </c>
      <c r="X52" t="s">
        <v>93</v>
      </c>
    </row>
    <row r="53" spans="1:24">
      <c r="A53" t="str">
        <f>Hyperlink("https://www.diodes.com/part/view/DMC1018UPD","DMC1018UPD")</f>
        <v>DMC1018UPD</v>
      </c>
      <c r="B53" t="str">
        <f>Hyperlink("https://www.diodes.com/assets/Datasheets/DMC1018UPD.pdf","DMC1018UPD Datasheet")</f>
        <v>DMC1018UPD Datasheet</v>
      </c>
      <c r="C53" t="s">
        <v>68</v>
      </c>
      <c r="D53" t="s">
        <v>25</v>
      </c>
      <c r="E53" t="s">
        <v>26</v>
      </c>
      <c r="F53" t="s">
        <v>69</v>
      </c>
      <c r="G53" t="s">
        <v>28</v>
      </c>
      <c r="H53" t="s">
        <v>83</v>
      </c>
      <c r="I53" t="s">
        <v>104</v>
      </c>
      <c r="J53" t="s">
        <v>105</v>
      </c>
      <c r="L53">
        <v>2.3</v>
      </c>
      <c r="O53" t="s">
        <v>106</v>
      </c>
      <c r="P53" t="s">
        <v>107</v>
      </c>
      <c r="R53" t="s">
        <v>88</v>
      </c>
      <c r="S53" t="s">
        <v>89</v>
      </c>
      <c r="T53" t="s">
        <v>108</v>
      </c>
      <c r="U53" t="s">
        <v>109</v>
      </c>
      <c r="V53" t="s">
        <v>110</v>
      </c>
      <c r="W53" t="s">
        <v>111</v>
      </c>
      <c r="X53" t="s">
        <v>93</v>
      </c>
    </row>
    <row r="54" spans="1:24">
      <c r="A54" t="str">
        <f>Hyperlink("https://www.diodes.com/part/view/DMC1018UPDWQ","DMC1018UPDWQ")</f>
        <v>DMC1018UPDWQ</v>
      </c>
      <c r="B54" t="str">
        <f>Hyperlink("https://www.diodes.com/assets/Datasheets/DMC1018UPDWQ.pdf","DMC1018UPDWQ Datasheet")</f>
        <v>DMC1018UPDWQ Datasheet</v>
      </c>
      <c r="C54" t="s">
        <v>68</v>
      </c>
      <c r="D54" t="s">
        <v>25</v>
      </c>
      <c r="E54" t="s">
        <v>33</v>
      </c>
      <c r="F54" t="s">
        <v>69</v>
      </c>
      <c r="G54" t="s">
        <v>28</v>
      </c>
      <c r="H54" t="s">
        <v>83</v>
      </c>
      <c r="I54" t="s">
        <v>104</v>
      </c>
      <c r="J54" t="s">
        <v>112</v>
      </c>
      <c r="K54" t="s">
        <v>113</v>
      </c>
      <c r="L54">
        <v>2.6</v>
      </c>
      <c r="M54">
        <v>25</v>
      </c>
      <c r="O54" t="s">
        <v>114</v>
      </c>
      <c r="P54" t="s">
        <v>107</v>
      </c>
      <c r="R54" t="s">
        <v>88</v>
      </c>
      <c r="S54" t="s">
        <v>89</v>
      </c>
      <c r="T54" t="s">
        <v>108</v>
      </c>
      <c r="V54" t="s">
        <v>110</v>
      </c>
      <c r="W54" t="s">
        <v>111</v>
      </c>
      <c r="X54" t="s">
        <v>115</v>
      </c>
    </row>
    <row r="55" spans="1:24">
      <c r="A55" t="str">
        <f>Hyperlink("https://www.diodes.com/part/view/DMC1028UFDB","DMC1028UFDB")</f>
        <v>DMC1028UFDB</v>
      </c>
      <c r="B55" t="str">
        <f>Hyperlink("https://www.diodes.com/assets/Datasheets/DMC1028UFDB.pdf","DMC1028UFDB Datasheet")</f>
        <v>DMC1028UFDB Datasheet</v>
      </c>
      <c r="C55" t="s">
        <v>68</v>
      </c>
      <c r="D55" t="s">
        <v>28</v>
      </c>
      <c r="E55" t="s">
        <v>26</v>
      </c>
      <c r="F55" t="s">
        <v>69</v>
      </c>
      <c r="G55" t="s">
        <v>25</v>
      </c>
      <c r="H55" t="s">
        <v>83</v>
      </c>
      <c r="I55" t="s">
        <v>84</v>
      </c>
      <c r="J55" t="s">
        <v>116</v>
      </c>
      <c r="L55">
        <v>1.36</v>
      </c>
      <c r="O55" t="s">
        <v>117</v>
      </c>
      <c r="P55" t="s">
        <v>118</v>
      </c>
      <c r="Q55" t="s">
        <v>119</v>
      </c>
      <c r="R55" t="s">
        <v>120</v>
      </c>
      <c r="S55" t="s">
        <v>121</v>
      </c>
      <c r="T55" t="s">
        <v>122</v>
      </c>
      <c r="U55" t="s">
        <v>123</v>
      </c>
      <c r="V55" t="s">
        <v>124</v>
      </c>
      <c r="W55" t="s">
        <v>111</v>
      </c>
      <c r="X55" t="s">
        <v>125</v>
      </c>
    </row>
    <row r="56" spans="1:24">
      <c r="A56" t="str">
        <f>Hyperlink("https://www.diodes.com/part/view/DMC1028UVT","DMC1028UVT")</f>
        <v>DMC1028UVT</v>
      </c>
      <c r="B56" t="str">
        <f>Hyperlink("https://www.diodes.com/assets/Datasheets/DMC1028UVT.pdf","DMC1028UVT Datasheet")</f>
        <v>DMC1028UVT Datasheet</v>
      </c>
      <c r="C56" t="s">
        <v>68</v>
      </c>
      <c r="D56" t="s">
        <v>28</v>
      </c>
      <c r="E56" t="s">
        <v>26</v>
      </c>
      <c r="F56" t="s">
        <v>69</v>
      </c>
      <c r="G56" t="s">
        <v>25</v>
      </c>
      <c r="H56" t="s">
        <v>83</v>
      </c>
      <c r="I56" t="s">
        <v>84</v>
      </c>
      <c r="J56" t="s">
        <v>126</v>
      </c>
      <c r="L56">
        <v>1.2</v>
      </c>
      <c r="O56" t="s">
        <v>117</v>
      </c>
      <c r="P56" t="s">
        <v>118</v>
      </c>
      <c r="Q56" t="s">
        <v>119</v>
      </c>
      <c r="R56" t="s">
        <v>127</v>
      </c>
      <c r="S56" t="s">
        <v>121</v>
      </c>
      <c r="T56" t="s">
        <v>122</v>
      </c>
      <c r="U56" t="s">
        <v>123</v>
      </c>
      <c r="V56" t="s">
        <v>124</v>
      </c>
      <c r="W56" t="s">
        <v>111</v>
      </c>
      <c r="X56" t="s">
        <v>128</v>
      </c>
    </row>
    <row r="57" spans="1:24">
      <c r="A57" t="str">
        <f>Hyperlink("https://www.diodes.com/part/view/DMC1029UFDB","DMC1029UFDB")</f>
        <v>DMC1029UFDB</v>
      </c>
      <c r="B57" t="str">
        <f>Hyperlink("https://www.diodes.com/assets/Datasheets/DMC1029UFDB.pdf","DMC1029UFDB Datasheet")</f>
        <v>DMC1029UFDB Datasheet</v>
      </c>
      <c r="C57" t="s">
        <v>68</v>
      </c>
      <c r="D57" t="s">
        <v>28</v>
      </c>
      <c r="E57" t="s">
        <v>26</v>
      </c>
      <c r="F57" t="s">
        <v>69</v>
      </c>
      <c r="G57" t="s">
        <v>28</v>
      </c>
      <c r="H57" t="s">
        <v>129</v>
      </c>
      <c r="I57" t="s">
        <v>84</v>
      </c>
      <c r="J57" t="s">
        <v>130</v>
      </c>
      <c r="L57">
        <v>1.4</v>
      </c>
      <c r="O57" t="s">
        <v>131</v>
      </c>
      <c r="P57" t="s">
        <v>132</v>
      </c>
      <c r="Q57" t="s">
        <v>133</v>
      </c>
      <c r="R57" t="s">
        <v>120</v>
      </c>
      <c r="S57" t="s">
        <v>121</v>
      </c>
      <c r="T57" t="s">
        <v>134</v>
      </c>
      <c r="U57" t="s">
        <v>135</v>
      </c>
      <c r="V57" t="s">
        <v>136</v>
      </c>
      <c r="W57" t="s">
        <v>111</v>
      </c>
      <c r="X57" t="s">
        <v>125</v>
      </c>
    </row>
    <row r="58" spans="1:24">
      <c r="A58" t="str">
        <f>Hyperlink("https://www.diodes.com/part/view/DMC1030UFDB","DMC1030UFDB")</f>
        <v>DMC1030UFDB</v>
      </c>
      <c r="B58" t="str">
        <f>Hyperlink("https://www.diodes.com/assets/Datasheets/DMC1030UFDB.pdf","DMC1030UFDB Datasheet")</f>
        <v>DMC1030UFDB Datasheet</v>
      </c>
      <c r="C58" t="s">
        <v>68</v>
      </c>
      <c r="D58" t="s">
        <v>25</v>
      </c>
      <c r="E58" t="s">
        <v>26</v>
      </c>
      <c r="F58" t="s">
        <v>69</v>
      </c>
      <c r="G58" t="s">
        <v>25</v>
      </c>
      <c r="H58" t="s">
        <v>129</v>
      </c>
      <c r="I58" t="s">
        <v>84</v>
      </c>
      <c r="J58" t="s">
        <v>137</v>
      </c>
      <c r="L58">
        <v>1.36</v>
      </c>
      <c r="O58" t="s">
        <v>138</v>
      </c>
      <c r="P58" t="s">
        <v>139</v>
      </c>
      <c r="Q58" t="s">
        <v>140</v>
      </c>
      <c r="R58" t="s">
        <v>120</v>
      </c>
      <c r="S58" t="s">
        <v>121</v>
      </c>
      <c r="T58" t="s">
        <v>141</v>
      </c>
      <c r="U58" t="s">
        <v>142</v>
      </c>
      <c r="V58" t="s">
        <v>143</v>
      </c>
      <c r="W58" t="s">
        <v>111</v>
      </c>
      <c r="X58" t="s">
        <v>125</v>
      </c>
    </row>
    <row r="59" spans="1:24">
      <c r="A59" t="str">
        <f>Hyperlink("https://www.diodes.com/part/view/DMC10H172SSD","DMC10H172SSD")</f>
        <v>DMC10H172SSD</v>
      </c>
      <c r="B59" t="str">
        <f>Hyperlink("https://www.diodes.com/assets/Datasheets/DMC10H172SSD.pdf","DMC10H172SSD Datasheet")</f>
        <v>DMC10H172SSD Datasheet</v>
      </c>
      <c r="C59" t="s">
        <v>68</v>
      </c>
      <c r="D59" t="s">
        <v>28</v>
      </c>
      <c r="E59" t="s">
        <v>26</v>
      </c>
      <c r="F59" t="s">
        <v>69</v>
      </c>
      <c r="G59" t="s">
        <v>28</v>
      </c>
      <c r="H59" t="s">
        <v>144</v>
      </c>
      <c r="I59" t="s">
        <v>145</v>
      </c>
      <c r="J59" t="s">
        <v>146</v>
      </c>
      <c r="L59">
        <v>1.5</v>
      </c>
      <c r="N59" t="s">
        <v>147</v>
      </c>
      <c r="O59" t="s">
        <v>148</v>
      </c>
      <c r="R59" t="s">
        <v>149</v>
      </c>
      <c r="S59" t="s">
        <v>150</v>
      </c>
      <c r="T59" t="s">
        <v>151</v>
      </c>
      <c r="U59" t="s">
        <v>152</v>
      </c>
      <c r="V59" t="s">
        <v>153</v>
      </c>
      <c r="W59" t="s">
        <v>154</v>
      </c>
      <c r="X59" t="s">
        <v>155</v>
      </c>
    </row>
    <row r="60" spans="1:24">
      <c r="A60" t="str">
        <f>Hyperlink("https://www.diodes.com/part/view/DMC10H220LSD","DMC10H220LSD")</f>
        <v>DMC10H220LSD</v>
      </c>
      <c r="B60" t="str">
        <f>Hyperlink("https://www.diodes.com/assets/Datasheets/DMC10H220LSD.pdf","DMC10H220LSD Datasheet")</f>
        <v>DMC10H220LSD Datasheet</v>
      </c>
      <c r="C60" t="s">
        <v>68</v>
      </c>
      <c r="D60" t="s">
        <v>28</v>
      </c>
      <c r="E60" t="s">
        <v>26</v>
      </c>
      <c r="F60" t="s">
        <v>69</v>
      </c>
      <c r="G60" t="s">
        <v>28</v>
      </c>
      <c r="H60" t="s">
        <v>156</v>
      </c>
      <c r="I60" t="s">
        <v>71</v>
      </c>
      <c r="J60" t="s">
        <v>157</v>
      </c>
      <c r="L60" t="s">
        <v>121</v>
      </c>
      <c r="N60" t="s">
        <v>158</v>
      </c>
      <c r="O60" t="s">
        <v>159</v>
      </c>
      <c r="R60" t="s">
        <v>149</v>
      </c>
      <c r="S60" t="s">
        <v>160</v>
      </c>
      <c r="T60" t="s">
        <v>161</v>
      </c>
      <c r="U60" t="s">
        <v>162</v>
      </c>
      <c r="V60" t="s">
        <v>163</v>
      </c>
      <c r="W60" t="s">
        <v>154</v>
      </c>
      <c r="X60" t="s">
        <v>155</v>
      </c>
    </row>
    <row r="61" spans="1:24">
      <c r="A61" t="str">
        <f>Hyperlink("https://www.diodes.com/part/view/DMC1229UFDB","DMC1229UFDB")</f>
        <v>DMC1229UFDB</v>
      </c>
      <c r="B61" t="str">
        <f>Hyperlink("https://www.diodes.com/assets/Datasheets/DMC1229UFDB.pdf","DMC1229UFDB Datasheet")</f>
        <v>DMC1229UFDB Datasheet</v>
      </c>
      <c r="C61" t="s">
        <v>68</v>
      </c>
      <c r="D61" t="s">
        <v>25</v>
      </c>
      <c r="E61" t="s">
        <v>26</v>
      </c>
      <c r="F61" t="s">
        <v>69</v>
      </c>
      <c r="G61" t="s">
        <v>28</v>
      </c>
      <c r="H61" t="s">
        <v>129</v>
      </c>
      <c r="I61" t="s">
        <v>84</v>
      </c>
      <c r="J61" t="s">
        <v>130</v>
      </c>
      <c r="L61">
        <v>1.4</v>
      </c>
      <c r="O61" t="s">
        <v>131</v>
      </c>
      <c r="P61" t="s">
        <v>132</v>
      </c>
      <c r="Q61" t="s">
        <v>133</v>
      </c>
      <c r="R61" t="s">
        <v>120</v>
      </c>
      <c r="S61" t="s">
        <v>121</v>
      </c>
      <c r="T61" t="s">
        <v>134</v>
      </c>
      <c r="U61" t="s">
        <v>135</v>
      </c>
      <c r="V61" t="s">
        <v>136</v>
      </c>
      <c r="W61" t="s">
        <v>164</v>
      </c>
      <c r="X61" t="s">
        <v>125</v>
      </c>
    </row>
    <row r="62" spans="1:24">
      <c r="A62" t="str">
        <f>Hyperlink("https://www.diodes.com/part/view/DMC2004DWK","DMC2004DWK")</f>
        <v>DMC2004DWK</v>
      </c>
      <c r="B62" t="str">
        <f>Hyperlink("https://www.diodes.com/assets/Datasheets/ds31114.pdf","DMC2004DWK Datasheet")</f>
        <v>DMC2004DWK Datasheet</v>
      </c>
      <c r="C62" t="s">
        <v>68</v>
      </c>
      <c r="D62" t="s">
        <v>25</v>
      </c>
      <c r="E62" t="s">
        <v>26</v>
      </c>
      <c r="F62" t="s">
        <v>69</v>
      </c>
      <c r="G62" t="s">
        <v>25</v>
      </c>
      <c r="H62" t="s">
        <v>71</v>
      </c>
      <c r="I62" t="s">
        <v>84</v>
      </c>
      <c r="J62" t="s">
        <v>165</v>
      </c>
      <c r="L62">
        <v>0.25</v>
      </c>
      <c r="O62" t="s">
        <v>166</v>
      </c>
      <c r="P62" t="s">
        <v>167</v>
      </c>
      <c r="Q62" t="s">
        <v>168</v>
      </c>
      <c r="R62" t="s">
        <v>169</v>
      </c>
      <c r="S62" t="s">
        <v>121</v>
      </c>
      <c r="V62" t="s">
        <v>170</v>
      </c>
      <c r="W62" t="s">
        <v>171</v>
      </c>
      <c r="X62" t="s">
        <v>37</v>
      </c>
    </row>
    <row r="63" spans="1:24">
      <c r="A63" t="str">
        <f>Hyperlink("https://www.diodes.com/part/view/DMC2004LPK","DMC2004LPK")</f>
        <v>DMC2004LPK</v>
      </c>
      <c r="B63" t="str">
        <f>Hyperlink("https://www.diodes.com/assets/Datasheets/ds30854.pdf","DMC2004LPK Datasheet")</f>
        <v>DMC2004LPK Datasheet</v>
      </c>
      <c r="C63" t="s">
        <v>68</v>
      </c>
      <c r="D63" t="s">
        <v>25</v>
      </c>
      <c r="E63" t="s">
        <v>26</v>
      </c>
      <c r="F63" t="s">
        <v>69</v>
      </c>
      <c r="G63" t="s">
        <v>25</v>
      </c>
      <c r="H63" t="s">
        <v>71</v>
      </c>
      <c r="I63" t="s">
        <v>84</v>
      </c>
      <c r="J63" t="s">
        <v>172</v>
      </c>
      <c r="L63">
        <v>0.5</v>
      </c>
      <c r="O63" t="s">
        <v>166</v>
      </c>
      <c r="P63" t="s">
        <v>167</v>
      </c>
      <c r="Q63" t="s">
        <v>168</v>
      </c>
      <c r="R63" t="s">
        <v>169</v>
      </c>
      <c r="S63" t="s">
        <v>121</v>
      </c>
      <c r="V63" t="s">
        <v>170</v>
      </c>
      <c r="W63" t="s">
        <v>171</v>
      </c>
      <c r="X63" t="s">
        <v>173</v>
      </c>
    </row>
    <row r="64" spans="1:24">
      <c r="A64" t="str">
        <f>Hyperlink("https://www.diodes.com/part/view/DMC2020USD","DMC2020USD")</f>
        <v>DMC2020USD</v>
      </c>
      <c r="B64" t="str">
        <f>Hyperlink("https://www.diodes.com/assets/Datasheets/DMC2020USD.pdf","DMC2020USD Datasheet")</f>
        <v>DMC2020USD Datasheet</v>
      </c>
      <c r="C64" t="s">
        <v>68</v>
      </c>
      <c r="D64" t="s">
        <v>25</v>
      </c>
      <c r="E64" t="s">
        <v>26</v>
      </c>
      <c r="F64" t="s">
        <v>69</v>
      </c>
      <c r="G64" t="s">
        <v>25</v>
      </c>
      <c r="H64" t="s">
        <v>71</v>
      </c>
      <c r="I64" t="s">
        <v>174</v>
      </c>
      <c r="J64" t="s">
        <v>175</v>
      </c>
      <c r="L64">
        <v>1.8</v>
      </c>
      <c r="O64" t="s">
        <v>176</v>
      </c>
      <c r="P64" t="s">
        <v>177</v>
      </c>
      <c r="R64" t="s">
        <v>178</v>
      </c>
      <c r="S64" t="s">
        <v>100</v>
      </c>
      <c r="T64" t="s">
        <v>179</v>
      </c>
      <c r="V64" t="s">
        <v>180</v>
      </c>
      <c r="W64" t="s">
        <v>174</v>
      </c>
      <c r="X64" t="s">
        <v>155</v>
      </c>
    </row>
    <row r="65" spans="1:24">
      <c r="A65" t="str">
        <f>Hyperlink("https://www.diodes.com/part/view/DMC2025UFDB","DMC2025UFDB")</f>
        <v>DMC2025UFDB</v>
      </c>
      <c r="B65" t="str">
        <f>Hyperlink("https://www.diodes.com/assets/Datasheets/DMC2025UFDB.pdf","DMC2025UFDB Datasheet")</f>
        <v>DMC2025UFDB Datasheet</v>
      </c>
      <c r="C65" t="s">
        <v>68</v>
      </c>
      <c r="D65" t="s">
        <v>28</v>
      </c>
      <c r="E65" t="s">
        <v>26</v>
      </c>
      <c r="F65" t="s">
        <v>69</v>
      </c>
      <c r="G65" t="s">
        <v>25</v>
      </c>
      <c r="H65" t="s">
        <v>71</v>
      </c>
      <c r="I65" t="s">
        <v>181</v>
      </c>
      <c r="J65" t="s">
        <v>182</v>
      </c>
      <c r="L65">
        <v>1.4</v>
      </c>
      <c r="O65" t="s">
        <v>183</v>
      </c>
      <c r="P65" t="s">
        <v>184</v>
      </c>
      <c r="R65" t="s">
        <v>169</v>
      </c>
      <c r="S65" t="s">
        <v>185</v>
      </c>
      <c r="T65" t="s">
        <v>186</v>
      </c>
      <c r="U65" t="s">
        <v>187</v>
      </c>
      <c r="V65" t="s">
        <v>188</v>
      </c>
      <c r="W65" t="s">
        <v>174</v>
      </c>
      <c r="X65" t="s">
        <v>125</v>
      </c>
    </row>
    <row r="66" spans="1:24">
      <c r="A66" t="str">
        <f>Hyperlink("https://www.diodes.com/part/view/DMC2025UFDBQ","DMC2025UFDBQ")</f>
        <v>DMC2025UFDBQ</v>
      </c>
      <c r="B66" t="str">
        <f>Hyperlink("https://www.diodes.com/assets/Datasheets/DMC2025UFDBQ.pdf","DMC2025UFDBQ Datasheet")</f>
        <v>DMC2025UFDBQ Datasheet</v>
      </c>
      <c r="C66" t="s">
        <v>68</v>
      </c>
      <c r="D66" t="s">
        <v>25</v>
      </c>
      <c r="E66" t="s">
        <v>33</v>
      </c>
      <c r="F66" t="s">
        <v>69</v>
      </c>
      <c r="G66" t="s">
        <v>25</v>
      </c>
      <c r="H66" t="s">
        <v>71</v>
      </c>
      <c r="I66" t="s">
        <v>181</v>
      </c>
      <c r="J66" t="s">
        <v>182</v>
      </c>
      <c r="L66">
        <v>1.4</v>
      </c>
      <c r="O66" t="s">
        <v>183</v>
      </c>
      <c r="P66" t="s">
        <v>184</v>
      </c>
      <c r="R66" t="s">
        <v>189</v>
      </c>
      <c r="S66" t="s">
        <v>185</v>
      </c>
      <c r="T66" t="s">
        <v>186</v>
      </c>
      <c r="U66" t="s">
        <v>190</v>
      </c>
      <c r="V66" t="s">
        <v>188</v>
      </c>
      <c r="W66" t="s">
        <v>174</v>
      </c>
      <c r="X66" t="s">
        <v>125</v>
      </c>
    </row>
    <row r="67" spans="1:24">
      <c r="A67" t="str">
        <f>Hyperlink("https://www.diodes.com/part/view/DMC2041UFDB","DMC2041UFDB")</f>
        <v>DMC2041UFDB</v>
      </c>
      <c r="B67" t="str">
        <f>Hyperlink("https://www.diodes.com/assets/Datasheets/DMC2041UFDB.pdf","DMC2041UFDB Datasheet")</f>
        <v>DMC2041UFDB Datasheet</v>
      </c>
      <c r="C67" t="s">
        <v>68</v>
      </c>
      <c r="D67" t="s">
        <v>28</v>
      </c>
      <c r="E67" t="s">
        <v>26</v>
      </c>
      <c r="F67" t="s">
        <v>69</v>
      </c>
      <c r="G67" t="s">
        <v>25</v>
      </c>
      <c r="H67" t="s">
        <v>71</v>
      </c>
      <c r="I67" t="s">
        <v>129</v>
      </c>
      <c r="J67" t="s">
        <v>191</v>
      </c>
      <c r="L67">
        <v>1.4</v>
      </c>
      <c r="O67" t="s">
        <v>192</v>
      </c>
      <c r="P67" t="s">
        <v>193</v>
      </c>
      <c r="R67" t="s">
        <v>194</v>
      </c>
      <c r="S67" t="s">
        <v>195</v>
      </c>
      <c r="T67" t="s">
        <v>196</v>
      </c>
      <c r="U67" t="s">
        <v>197</v>
      </c>
      <c r="V67" t="s">
        <v>198</v>
      </c>
      <c r="W67" t="s">
        <v>174</v>
      </c>
      <c r="X67" t="s">
        <v>125</v>
      </c>
    </row>
    <row r="68" spans="1:24">
      <c r="A68" t="str">
        <f>Hyperlink("https://www.diodes.com/part/view/DMC2053UFDB","DMC2053UFDB")</f>
        <v>DMC2053UFDB</v>
      </c>
      <c r="B68" t="str">
        <f>Hyperlink("https://www.diodes.com/assets/Datasheets/DMC2053UFDB.pdf","DMC2053UFDB Datasheet")</f>
        <v>DMC2053UFDB Datasheet</v>
      </c>
      <c r="C68" t="s">
        <v>68</v>
      </c>
      <c r="D68" t="s">
        <v>28</v>
      </c>
      <c r="E68" t="s">
        <v>26</v>
      </c>
      <c r="F68" t="s">
        <v>69</v>
      </c>
      <c r="G68" t="s">
        <v>28</v>
      </c>
      <c r="H68" t="s">
        <v>71</v>
      </c>
      <c r="I68" t="s">
        <v>129</v>
      </c>
      <c r="J68" t="s">
        <v>199</v>
      </c>
      <c r="L68">
        <v>1.1</v>
      </c>
      <c r="O68" t="s">
        <v>200</v>
      </c>
      <c r="P68" t="s">
        <v>201</v>
      </c>
      <c r="Q68" t="s">
        <v>202</v>
      </c>
      <c r="R68" t="s">
        <v>203</v>
      </c>
      <c r="S68" t="s">
        <v>121</v>
      </c>
      <c r="T68" t="s">
        <v>204</v>
      </c>
      <c r="V68" t="s">
        <v>205</v>
      </c>
      <c r="W68" t="s">
        <v>174</v>
      </c>
      <c r="X68" t="s">
        <v>125</v>
      </c>
    </row>
    <row r="69" spans="1:24">
      <c r="A69" t="str">
        <f>Hyperlink("https://www.diodes.com/part/view/DMC2053UFDBQ","DMC2053UFDBQ")</f>
        <v>DMC2053UFDBQ</v>
      </c>
      <c r="B69" t="str">
        <f>Hyperlink("https://www.diodes.com/assets/Datasheets/DMC2053UFDBQ.pdf","DMC2053UFDBQ Datasheet")</f>
        <v>DMC2053UFDBQ Datasheet</v>
      </c>
      <c r="C69" t="s">
        <v>68</v>
      </c>
      <c r="D69" t="s">
        <v>25</v>
      </c>
      <c r="E69" t="s">
        <v>33</v>
      </c>
      <c r="F69" t="s">
        <v>69</v>
      </c>
      <c r="G69" t="s">
        <v>28</v>
      </c>
      <c r="H69" t="s">
        <v>71</v>
      </c>
      <c r="I69" t="s">
        <v>129</v>
      </c>
      <c r="J69" t="s">
        <v>199</v>
      </c>
      <c r="L69">
        <v>1.1</v>
      </c>
      <c r="O69" t="s">
        <v>200</v>
      </c>
      <c r="P69" t="s">
        <v>201</v>
      </c>
      <c r="Q69" t="s">
        <v>202</v>
      </c>
      <c r="R69" t="s">
        <v>203</v>
      </c>
      <c r="S69" t="s">
        <v>121</v>
      </c>
      <c r="T69" t="s">
        <v>206</v>
      </c>
      <c r="V69" t="s">
        <v>205</v>
      </c>
      <c r="W69" t="s">
        <v>174</v>
      </c>
      <c r="X69" t="s">
        <v>125</v>
      </c>
    </row>
    <row r="70" spans="1:24">
      <c r="A70" t="str">
        <f>Hyperlink("https://www.diodes.com/part/view/DMC2053UVT","DMC2053UVT")</f>
        <v>DMC2053UVT</v>
      </c>
      <c r="B70" t="str">
        <f>Hyperlink("https://www.diodes.com/assets/Datasheets/DMC2053UVT.pdf","DMC2053UVT Datasheet")</f>
        <v>DMC2053UVT Datasheet</v>
      </c>
      <c r="C70" t="s">
        <v>68</v>
      </c>
      <c r="D70" t="s">
        <v>28</v>
      </c>
      <c r="E70" t="s">
        <v>26</v>
      </c>
      <c r="F70" t="s">
        <v>69</v>
      </c>
      <c r="G70" t="s">
        <v>28</v>
      </c>
      <c r="H70" t="s">
        <v>71</v>
      </c>
      <c r="I70" t="s">
        <v>129</v>
      </c>
      <c r="J70" t="s">
        <v>207</v>
      </c>
      <c r="L70">
        <v>1.1</v>
      </c>
      <c r="O70" t="s">
        <v>208</v>
      </c>
      <c r="P70" t="s">
        <v>201</v>
      </c>
      <c r="Q70" t="s">
        <v>202</v>
      </c>
      <c r="R70" t="s">
        <v>127</v>
      </c>
      <c r="S70" t="s">
        <v>121</v>
      </c>
      <c r="T70" t="s">
        <v>206</v>
      </c>
      <c r="V70" t="s">
        <v>205</v>
      </c>
      <c r="W70" t="s">
        <v>174</v>
      </c>
      <c r="X70" t="s">
        <v>128</v>
      </c>
    </row>
    <row r="71" spans="1:24">
      <c r="A71" t="str">
        <f>Hyperlink("https://www.diodes.com/part/view/DMC2053UVTQ","DMC2053UVTQ")</f>
        <v>DMC2053UVTQ</v>
      </c>
      <c r="B71" t="str">
        <f>Hyperlink("https://www.diodes.com/assets/Datasheets/DMC2053UVTQ.pdf","DMC2053UVTQ Datasheet")</f>
        <v>DMC2053UVTQ Datasheet</v>
      </c>
      <c r="C71" t="s">
        <v>68</v>
      </c>
      <c r="D71" t="s">
        <v>25</v>
      </c>
      <c r="E71" t="s">
        <v>33</v>
      </c>
      <c r="F71" t="s">
        <v>69</v>
      </c>
      <c r="G71" t="s">
        <v>28</v>
      </c>
      <c r="H71" t="s">
        <v>71</v>
      </c>
      <c r="I71" t="s">
        <v>129</v>
      </c>
      <c r="J71" t="s">
        <v>207</v>
      </c>
      <c r="L71">
        <v>1.1</v>
      </c>
      <c r="O71" t="s">
        <v>209</v>
      </c>
      <c r="P71" t="s">
        <v>201</v>
      </c>
      <c r="Q71" t="s">
        <v>202</v>
      </c>
      <c r="R71" t="s">
        <v>127</v>
      </c>
      <c r="S71" t="s">
        <v>121</v>
      </c>
      <c r="T71" t="s">
        <v>206</v>
      </c>
      <c r="V71" t="s">
        <v>205</v>
      </c>
      <c r="W71" t="s">
        <v>174</v>
      </c>
      <c r="X71" t="s">
        <v>128</v>
      </c>
    </row>
    <row r="72" spans="1:24">
      <c r="A72" t="str">
        <f>Hyperlink("https://www.diodes.com/part/view/DMC2057UVT","DMC2057UVT")</f>
        <v>DMC2057UVT</v>
      </c>
      <c r="B72" t="str">
        <f>Hyperlink("https://www.diodes.com/assets/Datasheets/DMC2057UVT.pdf","DMC2057UVT Datasheet")</f>
        <v>DMC2057UVT Datasheet</v>
      </c>
      <c r="C72" t="s">
        <v>68</v>
      </c>
      <c r="D72" t="s">
        <v>28</v>
      </c>
      <c r="E72" t="s">
        <v>26</v>
      </c>
      <c r="F72" t="s">
        <v>69</v>
      </c>
      <c r="G72" t="s">
        <v>28</v>
      </c>
      <c r="H72" t="s">
        <v>71</v>
      </c>
      <c r="I72" t="s">
        <v>210</v>
      </c>
      <c r="J72" t="s">
        <v>211</v>
      </c>
      <c r="L72">
        <v>1.1</v>
      </c>
      <c r="O72" t="s">
        <v>212</v>
      </c>
      <c r="P72" t="s">
        <v>213</v>
      </c>
      <c r="Q72" t="s">
        <v>214</v>
      </c>
      <c r="R72" t="s">
        <v>120</v>
      </c>
      <c r="S72" t="s">
        <v>215</v>
      </c>
      <c r="T72" t="s">
        <v>216</v>
      </c>
      <c r="U72" t="s">
        <v>217</v>
      </c>
      <c r="V72" t="s">
        <v>218</v>
      </c>
      <c r="W72" t="s">
        <v>174</v>
      </c>
      <c r="X72" t="s">
        <v>128</v>
      </c>
    </row>
    <row r="73" spans="1:24">
      <c r="A73" t="str">
        <f>Hyperlink("https://www.diodes.com/part/view/DMC21D1UDA","DMC21D1UDA")</f>
        <v>DMC21D1UDA</v>
      </c>
      <c r="B73" t="str">
        <f>Hyperlink("https://www.diodes.com/assets/Datasheets/DMC21D1UDA.pdf","DMC21D1UDA Datasheet")</f>
        <v>DMC21D1UDA Datasheet</v>
      </c>
      <c r="C73" t="s">
        <v>68</v>
      </c>
      <c r="D73" t="s">
        <v>28</v>
      </c>
      <c r="E73" t="s">
        <v>26</v>
      </c>
      <c r="F73" t="s">
        <v>69</v>
      </c>
      <c r="G73" t="s">
        <v>25</v>
      </c>
      <c r="H73" t="s">
        <v>71</v>
      </c>
      <c r="I73" t="s">
        <v>84</v>
      </c>
      <c r="J73" t="s">
        <v>219</v>
      </c>
      <c r="L73">
        <v>0.3</v>
      </c>
      <c r="O73" t="s">
        <v>220</v>
      </c>
      <c r="P73" t="s">
        <v>221</v>
      </c>
      <c r="Q73" t="s">
        <v>222</v>
      </c>
      <c r="R73" t="s">
        <v>222</v>
      </c>
      <c r="S73" t="s">
        <v>121</v>
      </c>
      <c r="T73" t="s">
        <v>223</v>
      </c>
      <c r="V73" t="s">
        <v>224</v>
      </c>
      <c r="W73" t="s">
        <v>174</v>
      </c>
      <c r="X73" t="s">
        <v>225</v>
      </c>
    </row>
    <row r="74" spans="1:24">
      <c r="A74" t="str">
        <f>Hyperlink("https://www.diodes.com/part/view/DMC2400UV","DMC2400UV")</f>
        <v>DMC2400UV</v>
      </c>
      <c r="B74" t="str">
        <f>Hyperlink("https://www.diodes.com/assets/Datasheets/DMC2400UV.pdf","DMC2400UV Datasheet")</f>
        <v>DMC2400UV Datasheet</v>
      </c>
      <c r="C74" t="s">
        <v>68</v>
      </c>
      <c r="D74" t="s">
        <v>25</v>
      </c>
      <c r="E74" t="s">
        <v>26</v>
      </c>
      <c r="F74" t="s">
        <v>69</v>
      </c>
      <c r="G74" t="s">
        <v>25</v>
      </c>
      <c r="H74" t="s">
        <v>71</v>
      </c>
      <c r="I74" t="s">
        <v>210</v>
      </c>
      <c r="J74" t="s">
        <v>226</v>
      </c>
      <c r="L74">
        <v>1</v>
      </c>
      <c r="O74" t="s">
        <v>227</v>
      </c>
      <c r="P74" t="s">
        <v>228</v>
      </c>
      <c r="Q74" t="s">
        <v>168</v>
      </c>
      <c r="R74" t="s">
        <v>169</v>
      </c>
      <c r="S74" t="s">
        <v>229</v>
      </c>
      <c r="T74" t="s">
        <v>169</v>
      </c>
      <c r="V74" t="s">
        <v>230</v>
      </c>
      <c r="W74" t="s">
        <v>174</v>
      </c>
      <c r="X74" t="s">
        <v>43</v>
      </c>
    </row>
    <row r="75" spans="1:24">
      <c r="A75" t="str">
        <f>Hyperlink("https://www.diodes.com/part/view/DMC2400UVQ","DMC2400UVQ")</f>
        <v>DMC2400UVQ</v>
      </c>
      <c r="B75" t="str">
        <f>Hyperlink("https://www.diodes.com/assets/Datasheets/DMC2400UVQ.pdf","DMC2400UVQ Datasheet")</f>
        <v>DMC2400UVQ Datasheet</v>
      </c>
      <c r="C75" t="s">
        <v>231</v>
      </c>
      <c r="D75" t="s">
        <v>25</v>
      </c>
      <c r="E75" t="s">
        <v>33</v>
      </c>
      <c r="F75" t="s">
        <v>69</v>
      </c>
      <c r="G75" t="s">
        <v>25</v>
      </c>
      <c r="H75" t="s">
        <v>71</v>
      </c>
      <c r="I75">
        <v>12</v>
      </c>
      <c r="J75" t="s">
        <v>232</v>
      </c>
      <c r="L75">
        <v>1</v>
      </c>
      <c r="O75" t="s">
        <v>227</v>
      </c>
      <c r="P75" t="s">
        <v>228</v>
      </c>
      <c r="Q75" t="s">
        <v>233</v>
      </c>
      <c r="R75" t="s">
        <v>169</v>
      </c>
      <c r="S75" t="s">
        <v>234</v>
      </c>
      <c r="T75" t="s">
        <v>169</v>
      </c>
      <c r="V75" t="s">
        <v>235</v>
      </c>
      <c r="W75" t="s">
        <v>174</v>
      </c>
      <c r="X75" t="s">
        <v>43</v>
      </c>
    </row>
    <row r="76" spans="1:24">
      <c r="A76" t="str">
        <f>Hyperlink("https://www.diodes.com/part/view/DMC2450UV","DMC2450UV")</f>
        <v>DMC2450UV</v>
      </c>
      <c r="B76" t="str">
        <f>Hyperlink("https://www.diodes.com/assets/Datasheets/DMC2450UV.pdf","DMC2450UV Datasheet")</f>
        <v>DMC2450UV Datasheet</v>
      </c>
      <c r="C76" t="s">
        <v>68</v>
      </c>
      <c r="D76" t="s">
        <v>25</v>
      </c>
      <c r="E76" t="s">
        <v>26</v>
      </c>
      <c r="F76" t="s">
        <v>69</v>
      </c>
      <c r="G76" t="s">
        <v>25</v>
      </c>
      <c r="H76" t="s">
        <v>71</v>
      </c>
      <c r="I76" t="s">
        <v>129</v>
      </c>
      <c r="J76" t="s">
        <v>226</v>
      </c>
      <c r="L76">
        <v>1</v>
      </c>
      <c r="O76" t="s">
        <v>227</v>
      </c>
      <c r="P76" t="s">
        <v>228</v>
      </c>
      <c r="Q76" t="s">
        <v>168</v>
      </c>
      <c r="R76" t="s">
        <v>169</v>
      </c>
      <c r="S76" t="s">
        <v>229</v>
      </c>
      <c r="T76" t="s">
        <v>169</v>
      </c>
      <c r="V76" t="s">
        <v>235</v>
      </c>
      <c r="W76" t="s">
        <v>174</v>
      </c>
      <c r="X76" t="s">
        <v>43</v>
      </c>
    </row>
    <row r="77" spans="1:24">
      <c r="A77" t="str">
        <f>Hyperlink("https://www.diodes.com/part/view/DMC25D0UVT","DMC25D0UVT")</f>
        <v>DMC25D0UVT</v>
      </c>
      <c r="B77" t="str">
        <f>Hyperlink("https://www.diodes.com/assets/Datasheets/DMC25D0UVT.pdf","DMC25D0UVT Datasheet")</f>
        <v>DMC25D0UVT Datasheet</v>
      </c>
      <c r="C77" t="s">
        <v>68</v>
      </c>
      <c r="D77" t="s">
        <v>25</v>
      </c>
      <c r="E77" t="s">
        <v>26</v>
      </c>
      <c r="F77" t="s">
        <v>69</v>
      </c>
      <c r="G77" t="s">
        <v>94</v>
      </c>
      <c r="H77" t="s">
        <v>236</v>
      </c>
      <c r="I77" t="s">
        <v>104</v>
      </c>
      <c r="J77" t="s">
        <v>237</v>
      </c>
      <c r="L77">
        <v>1.2</v>
      </c>
      <c r="O77" t="s">
        <v>238</v>
      </c>
      <c r="P77" t="s">
        <v>239</v>
      </c>
      <c r="R77" t="s">
        <v>240</v>
      </c>
      <c r="S77" t="s">
        <v>89</v>
      </c>
      <c r="T77" t="s">
        <v>241</v>
      </c>
      <c r="U77" t="s">
        <v>242</v>
      </c>
      <c r="V77" t="s">
        <v>243</v>
      </c>
      <c r="W77" t="s">
        <v>244</v>
      </c>
      <c r="X77" t="s">
        <v>128</v>
      </c>
    </row>
    <row r="78" spans="1:24">
      <c r="A78" t="str">
        <f>Hyperlink("https://www.diodes.com/part/view/DMC25D1UVT","DMC25D1UVT")</f>
        <v>DMC25D1UVT</v>
      </c>
      <c r="B78" t="str">
        <f>Hyperlink("https://www.diodes.com/assets/Datasheets/DMC25D1UVT.pdf","DMC25D1UVT Datasheet")</f>
        <v>DMC25D1UVT Datasheet</v>
      </c>
      <c r="C78" t="s">
        <v>68</v>
      </c>
      <c r="D78" t="s">
        <v>25</v>
      </c>
      <c r="E78" t="s">
        <v>26</v>
      </c>
      <c r="F78" t="s">
        <v>69</v>
      </c>
      <c r="G78" t="s">
        <v>25</v>
      </c>
      <c r="H78" t="s">
        <v>245</v>
      </c>
      <c r="I78" t="s">
        <v>84</v>
      </c>
      <c r="J78" t="s">
        <v>246</v>
      </c>
      <c r="L78">
        <v>1.3</v>
      </c>
      <c r="O78" t="s">
        <v>247</v>
      </c>
      <c r="P78" t="s">
        <v>248</v>
      </c>
      <c r="Q78" t="s">
        <v>249</v>
      </c>
      <c r="R78" t="s">
        <v>250</v>
      </c>
      <c r="S78" t="s">
        <v>89</v>
      </c>
      <c r="T78" t="s">
        <v>251</v>
      </c>
      <c r="U78" t="s">
        <v>252</v>
      </c>
      <c r="V78" t="s">
        <v>253</v>
      </c>
      <c r="W78" t="s">
        <v>254</v>
      </c>
      <c r="X78" t="s">
        <v>128</v>
      </c>
    </row>
    <row r="79" spans="1:24">
      <c r="A79" t="str">
        <f>Hyperlink("https://www.diodes.com/part/view/DMC2700UDM","DMC2700UDM")</f>
        <v>DMC2700UDM</v>
      </c>
      <c r="B79" t="str">
        <f>Hyperlink("https://www.diodes.com/assets/Datasheets/DMC2700UDM.pdf","DMC2700UDM Datasheet")</f>
        <v>DMC2700UDM Datasheet</v>
      </c>
      <c r="C79" t="s">
        <v>68</v>
      </c>
      <c r="D79" t="s">
        <v>25</v>
      </c>
      <c r="E79" t="s">
        <v>26</v>
      </c>
      <c r="F79" t="s">
        <v>69</v>
      </c>
      <c r="G79" t="s">
        <v>25</v>
      </c>
      <c r="H79" t="s">
        <v>71</v>
      </c>
      <c r="I79" t="s">
        <v>111</v>
      </c>
      <c r="J79" t="s">
        <v>255</v>
      </c>
      <c r="L79">
        <v>1.12</v>
      </c>
      <c r="O79" t="s">
        <v>256</v>
      </c>
      <c r="P79" t="s">
        <v>257</v>
      </c>
      <c r="Q79" t="s">
        <v>258</v>
      </c>
      <c r="R79" t="s">
        <v>169</v>
      </c>
      <c r="S79" t="s">
        <v>121</v>
      </c>
      <c r="T79" t="s">
        <v>259</v>
      </c>
      <c r="V79" t="s">
        <v>260</v>
      </c>
      <c r="W79" t="s">
        <v>171</v>
      </c>
      <c r="X79" t="s">
        <v>261</v>
      </c>
    </row>
    <row r="80" spans="1:24">
      <c r="A80" t="str">
        <f>Hyperlink("https://www.diodes.com/part/view/DMC2710UDW","DMC2710UDW")</f>
        <v>DMC2710UDW</v>
      </c>
      <c r="B80" t="str">
        <f>Hyperlink("https://www.diodes.com/assets/Datasheets/DMC2710UDW.pdf","DMC2710UDW Datasheet")</f>
        <v>DMC2710UDW Datasheet</v>
      </c>
      <c r="C80" t="s">
        <v>68</v>
      </c>
      <c r="D80" t="s">
        <v>28</v>
      </c>
      <c r="E80" t="s">
        <v>26</v>
      </c>
      <c r="F80" t="s">
        <v>69</v>
      </c>
      <c r="G80" t="s">
        <v>25</v>
      </c>
      <c r="H80" t="s">
        <v>71</v>
      </c>
      <c r="I80" t="s">
        <v>111</v>
      </c>
      <c r="J80" t="s">
        <v>172</v>
      </c>
      <c r="L80">
        <v>0.38</v>
      </c>
      <c r="O80" t="s">
        <v>262</v>
      </c>
      <c r="P80" t="s">
        <v>263</v>
      </c>
      <c r="Q80" t="s">
        <v>264</v>
      </c>
      <c r="R80" t="s">
        <v>169</v>
      </c>
      <c r="S80" t="s">
        <v>121</v>
      </c>
      <c r="T80" t="s">
        <v>265</v>
      </c>
      <c r="V80" t="s">
        <v>266</v>
      </c>
      <c r="W80" t="s">
        <v>171</v>
      </c>
      <c r="X80" t="s">
        <v>37</v>
      </c>
    </row>
    <row r="81" spans="1:24">
      <c r="A81" t="str">
        <f>Hyperlink("https://www.diodes.com/part/view/DMC2710UDWQ","DMC2710UDWQ")</f>
        <v>DMC2710UDWQ</v>
      </c>
      <c r="B81" t="str">
        <f>Hyperlink("https://www.diodes.com/assets/Datasheets/DMC2710UDWQ.pdf","DMC2710UDWQ Datasheet")</f>
        <v>DMC2710UDWQ Datasheet</v>
      </c>
      <c r="C81" t="s">
        <v>68</v>
      </c>
      <c r="D81" t="s">
        <v>25</v>
      </c>
      <c r="E81" t="s">
        <v>33</v>
      </c>
      <c r="F81" t="s">
        <v>69</v>
      </c>
      <c r="G81" t="s">
        <v>25</v>
      </c>
      <c r="H81" t="s">
        <v>71</v>
      </c>
      <c r="I81" t="s">
        <v>111</v>
      </c>
      <c r="J81" t="s">
        <v>172</v>
      </c>
      <c r="L81">
        <v>0.38</v>
      </c>
      <c r="O81" t="s">
        <v>262</v>
      </c>
      <c r="P81" t="s">
        <v>263</v>
      </c>
      <c r="Q81" t="s">
        <v>264</v>
      </c>
      <c r="R81" t="s">
        <v>169</v>
      </c>
      <c r="S81" t="s">
        <v>121</v>
      </c>
      <c r="T81" t="s">
        <v>265</v>
      </c>
      <c r="V81" t="s">
        <v>267</v>
      </c>
      <c r="W81" t="s">
        <v>171</v>
      </c>
      <c r="X81" t="s">
        <v>37</v>
      </c>
    </row>
    <row r="82" spans="1:24">
      <c r="A82" t="str">
        <f>Hyperlink("https://www.diodes.com/part/view/DMC2710UV","DMC2710UV")</f>
        <v>DMC2710UV</v>
      </c>
      <c r="B82" t="str">
        <f>Hyperlink("https://www.diodes.com/assets/Datasheets/DMC2710UV.pdf","DMC2710UV Datasheet")</f>
        <v>DMC2710UV Datasheet</v>
      </c>
      <c r="C82" t="s">
        <v>68</v>
      </c>
      <c r="D82" t="s">
        <v>28</v>
      </c>
      <c r="E82" t="s">
        <v>26</v>
      </c>
      <c r="F82" t="s">
        <v>69</v>
      </c>
      <c r="G82" t="s">
        <v>25</v>
      </c>
      <c r="H82" t="s">
        <v>71</v>
      </c>
      <c r="I82" t="s">
        <v>111</v>
      </c>
      <c r="J82" t="s">
        <v>268</v>
      </c>
      <c r="L82">
        <v>0.8</v>
      </c>
      <c r="O82" t="s">
        <v>256</v>
      </c>
      <c r="P82" t="s">
        <v>257</v>
      </c>
      <c r="Q82" t="s">
        <v>258</v>
      </c>
      <c r="R82" t="s">
        <v>169</v>
      </c>
      <c r="S82" t="s">
        <v>121</v>
      </c>
      <c r="T82" t="s">
        <v>265</v>
      </c>
      <c r="V82" t="s">
        <v>266</v>
      </c>
      <c r="W82" t="s">
        <v>171</v>
      </c>
      <c r="X82" t="s">
        <v>43</v>
      </c>
    </row>
    <row r="83" spans="1:24">
      <c r="A83" t="str">
        <f>Hyperlink("https://www.diodes.com/part/view/DMC2710UVQ","DMC2710UVQ")</f>
        <v>DMC2710UVQ</v>
      </c>
      <c r="B83" t="str">
        <f>Hyperlink("https://www.diodes.com/assets/Datasheets/DMC2710UVQ.pdf","DMC2710UVQ Datasheet")</f>
        <v>DMC2710UVQ Datasheet</v>
      </c>
      <c r="C83" t="s">
        <v>68</v>
      </c>
      <c r="D83" t="s">
        <v>25</v>
      </c>
      <c r="E83" t="s">
        <v>33</v>
      </c>
      <c r="F83" t="s">
        <v>69</v>
      </c>
      <c r="G83" t="s">
        <v>25</v>
      </c>
      <c r="H83" t="s">
        <v>71</v>
      </c>
      <c r="I83" t="s">
        <v>111</v>
      </c>
      <c r="J83" t="s">
        <v>268</v>
      </c>
      <c r="L83">
        <v>0.8</v>
      </c>
      <c r="O83" t="s">
        <v>256</v>
      </c>
      <c r="P83" t="s">
        <v>257</v>
      </c>
      <c r="Q83" t="s">
        <v>258</v>
      </c>
      <c r="R83" t="s">
        <v>169</v>
      </c>
      <c r="S83" t="s">
        <v>121</v>
      </c>
      <c r="T83" t="s">
        <v>265</v>
      </c>
      <c r="V83" t="s">
        <v>266</v>
      </c>
      <c r="W83">
        <v>16</v>
      </c>
      <c r="X83" t="s">
        <v>43</v>
      </c>
    </row>
    <row r="84" spans="1:24">
      <c r="A84" t="str">
        <f>Hyperlink("https://www.diodes.com/part/view/DMC2710UVT","DMC2710UVT")</f>
        <v>DMC2710UVT</v>
      </c>
      <c r="B84" t="str">
        <f>Hyperlink("https://www.diodes.com/assets/Datasheets/DMC2710UVT.pdf","DMC2710UVT Datasheet")</f>
        <v>DMC2710UVT Datasheet</v>
      </c>
      <c r="C84" t="s">
        <v>269</v>
      </c>
      <c r="D84" t="s">
        <v>28</v>
      </c>
      <c r="E84" t="s">
        <v>26</v>
      </c>
      <c r="F84" t="s">
        <v>69</v>
      </c>
      <c r="G84" t="s">
        <v>25</v>
      </c>
      <c r="H84" t="s">
        <v>71</v>
      </c>
      <c r="I84" t="s">
        <v>111</v>
      </c>
      <c r="J84" t="s">
        <v>270</v>
      </c>
      <c r="L84">
        <v>0.8</v>
      </c>
      <c r="O84" t="s">
        <v>256</v>
      </c>
      <c r="P84" t="s">
        <v>257</v>
      </c>
      <c r="Q84" t="s">
        <v>258</v>
      </c>
      <c r="R84" t="s">
        <v>169</v>
      </c>
      <c r="S84" t="s">
        <v>121</v>
      </c>
      <c r="T84" t="s">
        <v>265</v>
      </c>
      <c r="V84" t="s">
        <v>266</v>
      </c>
      <c r="W84" t="s">
        <v>171</v>
      </c>
      <c r="X84" t="s">
        <v>128</v>
      </c>
    </row>
    <row r="85" spans="1:24">
      <c r="A85" t="str">
        <f>Hyperlink("https://www.diodes.com/part/view/DMC2990UDJ","DMC2990UDJ")</f>
        <v>DMC2990UDJ</v>
      </c>
      <c r="B85" t="str">
        <f>Hyperlink("https://www.diodes.com/assets/Datasheets/DMC2990UDJ.pdf","DMC2990UDJ Datasheet")</f>
        <v>DMC2990UDJ Datasheet</v>
      </c>
      <c r="C85" t="s">
        <v>68</v>
      </c>
      <c r="D85" t="s">
        <v>25</v>
      </c>
      <c r="E85" t="s">
        <v>26</v>
      </c>
      <c r="F85" t="s">
        <v>69</v>
      </c>
      <c r="G85" t="s">
        <v>25</v>
      </c>
      <c r="H85" t="s">
        <v>71</v>
      </c>
      <c r="I85" t="s">
        <v>84</v>
      </c>
      <c r="J85" t="s">
        <v>271</v>
      </c>
      <c r="L85">
        <v>0.35</v>
      </c>
      <c r="O85" t="s">
        <v>220</v>
      </c>
      <c r="P85" t="s">
        <v>221</v>
      </c>
      <c r="Q85" t="s">
        <v>222</v>
      </c>
      <c r="R85" t="s">
        <v>120</v>
      </c>
      <c r="S85" t="s">
        <v>121</v>
      </c>
      <c r="T85" t="s">
        <v>178</v>
      </c>
      <c r="V85" t="s">
        <v>272</v>
      </c>
      <c r="W85" t="s">
        <v>273</v>
      </c>
      <c r="X85" t="s">
        <v>274</v>
      </c>
    </row>
    <row r="86" spans="1:24">
      <c r="A86" t="str">
        <f>Hyperlink("https://www.diodes.com/part/view/DMC2990UDJQ","DMC2990UDJQ")</f>
        <v>DMC2990UDJQ</v>
      </c>
      <c r="B86" t="str">
        <f>Hyperlink("https://www.diodes.com/assets/Datasheets/DMC2990UDJQ.pdf","DMC2990UDJQ Datasheet")</f>
        <v>DMC2990UDJQ Datasheet</v>
      </c>
      <c r="C86" t="s">
        <v>68</v>
      </c>
      <c r="D86" t="s">
        <v>25</v>
      </c>
      <c r="E86" t="s">
        <v>33</v>
      </c>
      <c r="F86" t="s">
        <v>69</v>
      </c>
      <c r="G86" t="s">
        <v>25</v>
      </c>
      <c r="H86" t="s">
        <v>71</v>
      </c>
      <c r="I86" t="s">
        <v>84</v>
      </c>
      <c r="J86" t="s">
        <v>271</v>
      </c>
      <c r="L86">
        <v>0.35</v>
      </c>
      <c r="O86" t="s">
        <v>220</v>
      </c>
      <c r="P86" t="s">
        <v>221</v>
      </c>
      <c r="Q86" t="s">
        <v>222</v>
      </c>
      <c r="R86" t="s">
        <v>120</v>
      </c>
      <c r="S86" t="s">
        <v>121</v>
      </c>
      <c r="T86" t="s">
        <v>178</v>
      </c>
      <c r="V86" t="s">
        <v>272</v>
      </c>
      <c r="W86" t="s">
        <v>273</v>
      </c>
      <c r="X86" t="s">
        <v>274</v>
      </c>
    </row>
    <row r="87" spans="1:24">
      <c r="A87" t="str">
        <f>Hyperlink("https://www.diodes.com/part/view/DMC2991UDA","DMC2991UDA")</f>
        <v>DMC2991UDA</v>
      </c>
      <c r="B87" t="str">
        <f>Hyperlink("https://www.diodes.com/assets/Datasheets/DMC2991UDA.pdf","DMC2991UDA Datasheet")</f>
        <v>DMC2991UDA Datasheet</v>
      </c>
      <c r="C87" t="s">
        <v>68</v>
      </c>
      <c r="D87" t="s">
        <v>28</v>
      </c>
      <c r="E87" t="s">
        <v>26</v>
      </c>
      <c r="F87" t="s">
        <v>69</v>
      </c>
      <c r="G87" t="s">
        <v>25</v>
      </c>
      <c r="H87" t="s">
        <v>71</v>
      </c>
      <c r="I87" t="s">
        <v>84</v>
      </c>
      <c r="J87" t="s">
        <v>275</v>
      </c>
      <c r="L87">
        <v>0.35</v>
      </c>
      <c r="O87" t="s">
        <v>220</v>
      </c>
      <c r="P87" t="s">
        <v>221</v>
      </c>
      <c r="Q87" t="s">
        <v>222</v>
      </c>
      <c r="R87" t="s">
        <v>120</v>
      </c>
      <c r="S87" t="s">
        <v>276</v>
      </c>
      <c r="T87" t="s">
        <v>277</v>
      </c>
      <c r="V87" t="s">
        <v>278</v>
      </c>
      <c r="W87" t="s">
        <v>279</v>
      </c>
      <c r="X87" t="s">
        <v>225</v>
      </c>
    </row>
    <row r="88" spans="1:24">
      <c r="A88" t="str">
        <f>Hyperlink("https://www.diodes.com/part/view/DMC2991UDJ","DMC2991UDJ")</f>
        <v>DMC2991UDJ</v>
      </c>
      <c r="B88" t="str">
        <f>Hyperlink("https://www.diodes.com/assets/Datasheets/DMC2991UDJ.pdf","DMC2991UDJ Datasheet")</f>
        <v>DMC2991UDJ Datasheet</v>
      </c>
      <c r="C88" t="s">
        <v>68</v>
      </c>
      <c r="D88" t="s">
        <v>28</v>
      </c>
      <c r="E88" t="s">
        <v>26</v>
      </c>
      <c r="F88" t="s">
        <v>69</v>
      </c>
      <c r="G88" t="s">
        <v>25</v>
      </c>
      <c r="H88" t="s">
        <v>71</v>
      </c>
      <c r="I88" t="s">
        <v>84</v>
      </c>
      <c r="J88" t="s">
        <v>280</v>
      </c>
      <c r="L88">
        <v>0.38</v>
      </c>
      <c r="O88" t="s">
        <v>220</v>
      </c>
      <c r="P88" t="s">
        <v>221</v>
      </c>
      <c r="Q88" t="s">
        <v>222</v>
      </c>
      <c r="R88" t="s">
        <v>120</v>
      </c>
      <c r="S88" t="s">
        <v>121</v>
      </c>
      <c r="T88" t="s">
        <v>277</v>
      </c>
      <c r="V88" t="s">
        <v>278</v>
      </c>
      <c r="W88" t="s">
        <v>281</v>
      </c>
      <c r="X88" t="s">
        <v>274</v>
      </c>
    </row>
    <row r="89" spans="1:24">
      <c r="A89" t="str">
        <f>Hyperlink("https://www.diodes.com/part/view/DMC2991UDR4","DMC2991UDR4")</f>
        <v>DMC2991UDR4</v>
      </c>
      <c r="B89" t="str">
        <f>Hyperlink("https://www.diodes.com/assets/Datasheets/DMC2991UDR4.pdf","DMC2991UDR4 Datasheet")</f>
        <v>DMC2991UDR4 Datasheet</v>
      </c>
      <c r="C89" t="s">
        <v>231</v>
      </c>
      <c r="D89" t="s">
        <v>28</v>
      </c>
      <c r="E89" t="s">
        <v>26</v>
      </c>
      <c r="F89" t="s">
        <v>69</v>
      </c>
      <c r="G89" t="s">
        <v>25</v>
      </c>
      <c r="H89" t="s">
        <v>71</v>
      </c>
      <c r="I89" t="s">
        <v>84</v>
      </c>
      <c r="J89" t="s">
        <v>280</v>
      </c>
      <c r="L89">
        <v>0.7</v>
      </c>
      <c r="O89" t="s">
        <v>220</v>
      </c>
      <c r="P89" t="s">
        <v>221</v>
      </c>
      <c r="Q89" t="s">
        <v>222</v>
      </c>
      <c r="R89" t="s">
        <v>120</v>
      </c>
      <c r="S89" t="s">
        <v>276</v>
      </c>
      <c r="T89" t="s">
        <v>282</v>
      </c>
      <c r="V89" t="s">
        <v>283</v>
      </c>
      <c r="W89" t="s">
        <v>171</v>
      </c>
      <c r="X89" t="s">
        <v>284</v>
      </c>
    </row>
    <row r="90" spans="1:24">
      <c r="A90" t="str">
        <f>Hyperlink("https://www.diodes.com/part/view/DMC3016LDV","DMC3016LDV")</f>
        <v>DMC3016LDV</v>
      </c>
      <c r="B90" t="str">
        <f>Hyperlink("https://www.diodes.com/assets/Datasheets/DMC3016LDV.pdf","DMC3016LDV Datasheet")</f>
        <v>DMC3016LDV Datasheet</v>
      </c>
      <c r="C90" t="s">
        <v>68</v>
      </c>
      <c r="D90" t="s">
        <v>28</v>
      </c>
      <c r="E90" t="s">
        <v>26</v>
      </c>
      <c r="F90" t="s">
        <v>69</v>
      </c>
      <c r="G90" t="s">
        <v>28</v>
      </c>
      <c r="H90" t="s">
        <v>285</v>
      </c>
      <c r="I90" t="s">
        <v>71</v>
      </c>
      <c r="J90" t="s">
        <v>286</v>
      </c>
      <c r="L90">
        <v>1.8</v>
      </c>
      <c r="N90" t="s">
        <v>287</v>
      </c>
      <c r="O90" t="s">
        <v>114</v>
      </c>
      <c r="S90" t="s">
        <v>288</v>
      </c>
      <c r="T90" t="s">
        <v>289</v>
      </c>
      <c r="U90" t="s">
        <v>290</v>
      </c>
      <c r="V90" t="s">
        <v>291</v>
      </c>
      <c r="W90" t="s">
        <v>273</v>
      </c>
      <c r="X90" t="s">
        <v>292</v>
      </c>
    </row>
    <row r="91" spans="1:24">
      <c r="A91" t="str">
        <f>Hyperlink("https://www.diodes.com/part/view/DMC3016LNS","DMC3016LNS")</f>
        <v>DMC3016LNS</v>
      </c>
      <c r="B91" t="str">
        <f>Hyperlink("https://www.diodes.com/assets/Datasheets/DMC3016LNS.pdf","DMC3016LNS Datasheet")</f>
        <v>DMC3016LNS Datasheet</v>
      </c>
      <c r="C91" t="s">
        <v>68</v>
      </c>
      <c r="D91" t="s">
        <v>28</v>
      </c>
      <c r="E91" t="s">
        <v>26</v>
      </c>
      <c r="F91" t="s">
        <v>69</v>
      </c>
      <c r="G91" t="s">
        <v>28</v>
      </c>
      <c r="H91" t="s">
        <v>285</v>
      </c>
      <c r="I91" t="s">
        <v>71</v>
      </c>
      <c r="J91" t="s">
        <v>293</v>
      </c>
      <c r="L91">
        <v>2</v>
      </c>
      <c r="N91" t="s">
        <v>294</v>
      </c>
      <c r="O91" t="s">
        <v>295</v>
      </c>
      <c r="S91" t="s">
        <v>288</v>
      </c>
      <c r="T91" t="s">
        <v>289</v>
      </c>
      <c r="U91" t="s">
        <v>290</v>
      </c>
      <c r="V91" t="s">
        <v>291</v>
      </c>
      <c r="W91" t="s">
        <v>273</v>
      </c>
      <c r="X91" t="s">
        <v>296</v>
      </c>
    </row>
    <row r="92" spans="1:24">
      <c r="A92" t="str">
        <f>Hyperlink("https://www.diodes.com/part/view/DMC3016LSD","DMC3016LSD")</f>
        <v>DMC3016LSD</v>
      </c>
      <c r="B92" t="str">
        <f>Hyperlink("https://www.diodes.com/assets/Datasheets/DMC3016LSD.pdf","DMC3016LSD Datasheet")</f>
        <v>DMC3016LSD Datasheet</v>
      </c>
      <c r="C92" t="s">
        <v>68</v>
      </c>
      <c r="D92" t="s">
        <v>25</v>
      </c>
      <c r="E92" t="s">
        <v>26</v>
      </c>
      <c r="F92" t="s">
        <v>69</v>
      </c>
      <c r="G92" t="s">
        <v>28</v>
      </c>
      <c r="H92" t="s">
        <v>285</v>
      </c>
      <c r="I92" t="s">
        <v>71</v>
      </c>
      <c r="J92" t="s">
        <v>297</v>
      </c>
      <c r="L92">
        <v>1.2</v>
      </c>
      <c r="N92" t="s">
        <v>294</v>
      </c>
      <c r="O92" t="s">
        <v>295</v>
      </c>
      <c r="S92" t="s">
        <v>160</v>
      </c>
      <c r="T92" t="s">
        <v>298</v>
      </c>
      <c r="U92" t="s">
        <v>299</v>
      </c>
      <c r="V92" t="s">
        <v>300</v>
      </c>
      <c r="W92" t="s">
        <v>273</v>
      </c>
      <c r="X92" t="s">
        <v>155</v>
      </c>
    </row>
    <row r="93" spans="1:24">
      <c r="A93" t="str">
        <f>Hyperlink("https://www.diodes.com/part/view/DMC3020UDVW","DMC3020UDVW")</f>
        <v>DMC3020UDVW</v>
      </c>
      <c r="B93" t="str">
        <f>Hyperlink("https://www.diodes.com/assets/Datasheets/DMC3020UDVW.pdf","DMC3020UDVW Datasheet")</f>
        <v>DMC3020UDVW Datasheet</v>
      </c>
      <c r="C93" t="s">
        <v>231</v>
      </c>
      <c r="D93" t="s">
        <v>28</v>
      </c>
      <c r="E93" t="s">
        <v>26</v>
      </c>
      <c r="F93" t="s">
        <v>69</v>
      </c>
      <c r="G93" t="s">
        <v>25</v>
      </c>
      <c r="H93">
        <v>30</v>
      </c>
      <c r="I93" t="s">
        <v>83</v>
      </c>
      <c r="K93" t="s">
        <v>301</v>
      </c>
      <c r="L93">
        <v>2.21</v>
      </c>
      <c r="N93" t="s">
        <v>302</v>
      </c>
      <c r="O93" t="s">
        <v>303</v>
      </c>
      <c r="R93" t="s">
        <v>304</v>
      </c>
      <c r="S93" t="s">
        <v>305</v>
      </c>
      <c r="T93" t="s">
        <v>306</v>
      </c>
      <c r="U93" t="s">
        <v>307</v>
      </c>
      <c r="V93" t="s">
        <v>308</v>
      </c>
      <c r="W93" t="s">
        <v>273</v>
      </c>
      <c r="X93" t="s">
        <v>309</v>
      </c>
    </row>
    <row r="94" spans="1:24">
      <c r="A94" t="str">
        <f>Hyperlink("https://www.diodes.com/part/view/DMC3021LSD","DMC3021LSD")</f>
        <v>DMC3021LSD</v>
      </c>
      <c r="B94" t="str">
        <f>Hyperlink("https://www.diodes.com/assets/Datasheets/ds32152.pdf","DMC3021LSD Datasheet")</f>
        <v>DMC3021LSD Datasheet</v>
      </c>
      <c r="C94" t="s">
        <v>68</v>
      </c>
      <c r="D94" t="s">
        <v>25</v>
      </c>
      <c r="E94" t="s">
        <v>26</v>
      </c>
      <c r="F94" t="s">
        <v>69</v>
      </c>
      <c r="G94" t="s">
        <v>28</v>
      </c>
      <c r="H94" t="s">
        <v>285</v>
      </c>
      <c r="I94" t="s">
        <v>71</v>
      </c>
      <c r="J94" t="s">
        <v>310</v>
      </c>
      <c r="L94">
        <v>2.5</v>
      </c>
      <c r="N94" t="s">
        <v>311</v>
      </c>
      <c r="O94" t="s">
        <v>312</v>
      </c>
      <c r="R94" t="s">
        <v>121</v>
      </c>
      <c r="S94" t="s">
        <v>313</v>
      </c>
      <c r="T94" t="s">
        <v>314</v>
      </c>
      <c r="U94" t="s">
        <v>315</v>
      </c>
      <c r="V94" t="s">
        <v>316</v>
      </c>
      <c r="W94" t="s">
        <v>174</v>
      </c>
      <c r="X94" t="s">
        <v>155</v>
      </c>
    </row>
    <row r="95" spans="1:24">
      <c r="A95" t="str">
        <f>Hyperlink("https://www.diodes.com/part/view/DMC3021LSDQ","DMC3021LSDQ")</f>
        <v>DMC3021LSDQ</v>
      </c>
      <c r="B95" t="str">
        <f>Hyperlink("https://www.diodes.com/assets/Datasheets/DMC3021LSDQ.pdf","DMC3021LSDQ Datasheet")</f>
        <v>DMC3021LSDQ Datasheet</v>
      </c>
      <c r="C95" t="s">
        <v>68</v>
      </c>
      <c r="D95" t="s">
        <v>25</v>
      </c>
      <c r="E95" t="s">
        <v>33</v>
      </c>
      <c r="F95" t="s">
        <v>69</v>
      </c>
      <c r="G95" t="s">
        <v>28</v>
      </c>
      <c r="H95" t="s">
        <v>285</v>
      </c>
      <c r="I95" t="s">
        <v>71</v>
      </c>
      <c r="J95" t="s">
        <v>310</v>
      </c>
      <c r="L95">
        <v>2.5</v>
      </c>
      <c r="N95" t="s">
        <v>311</v>
      </c>
      <c r="O95" t="s">
        <v>312</v>
      </c>
      <c r="R95" t="s">
        <v>121</v>
      </c>
      <c r="S95" t="s">
        <v>313</v>
      </c>
      <c r="T95" t="s">
        <v>314</v>
      </c>
      <c r="U95" t="s">
        <v>315</v>
      </c>
      <c r="V95" t="s">
        <v>316</v>
      </c>
      <c r="W95" t="s">
        <v>174</v>
      </c>
      <c r="X95" t="s">
        <v>155</v>
      </c>
    </row>
    <row r="96" spans="1:24">
      <c r="A96" t="str">
        <f>Hyperlink("https://www.diodes.com/part/view/DMC3025LDV","DMC3025LDV")</f>
        <v>DMC3025LDV</v>
      </c>
      <c r="B96" t="str">
        <f>Hyperlink("https://www.diodes.com/assets/Datasheets/DMC3025LDV.pdf","DMC3025LDV Datasheet")</f>
        <v>DMC3025LDV Datasheet</v>
      </c>
      <c r="C96" t="s">
        <v>68</v>
      </c>
      <c r="D96" t="s">
        <v>28</v>
      </c>
      <c r="E96" t="s">
        <v>26</v>
      </c>
      <c r="F96" t="s">
        <v>69</v>
      </c>
      <c r="G96" t="s">
        <v>28</v>
      </c>
      <c r="H96" t="s">
        <v>285</v>
      </c>
      <c r="I96" t="s">
        <v>71</v>
      </c>
      <c r="J96" t="s">
        <v>273</v>
      </c>
      <c r="L96">
        <v>1.9</v>
      </c>
      <c r="N96" t="s">
        <v>97</v>
      </c>
      <c r="O96" t="s">
        <v>317</v>
      </c>
      <c r="S96" t="s">
        <v>288</v>
      </c>
      <c r="T96" t="s">
        <v>318</v>
      </c>
      <c r="U96" t="s">
        <v>319</v>
      </c>
      <c r="V96" t="s">
        <v>320</v>
      </c>
      <c r="W96" t="s">
        <v>273</v>
      </c>
      <c r="X96" t="s">
        <v>292</v>
      </c>
    </row>
    <row r="97" spans="1:24">
      <c r="A97" t="str">
        <f>Hyperlink("https://www.diodes.com/part/view/DMC3025LNS","DMC3025LNS")</f>
        <v>DMC3025LNS</v>
      </c>
      <c r="B97" t="str">
        <f>Hyperlink("https://www.diodes.com/assets/Datasheets/DMC3025LNS.pdf","DMC3025LNS Datasheet")</f>
        <v>DMC3025LNS Datasheet</v>
      </c>
      <c r="C97" t="s">
        <v>68</v>
      </c>
      <c r="D97" t="s">
        <v>28</v>
      </c>
      <c r="E97" t="s">
        <v>26</v>
      </c>
      <c r="F97" t="s">
        <v>69</v>
      </c>
      <c r="G97" t="s">
        <v>28</v>
      </c>
      <c r="H97" t="s">
        <v>285</v>
      </c>
      <c r="I97" t="s">
        <v>71</v>
      </c>
      <c r="J97" t="s">
        <v>321</v>
      </c>
      <c r="L97">
        <v>1.8</v>
      </c>
      <c r="N97" t="s">
        <v>322</v>
      </c>
      <c r="O97" t="s">
        <v>317</v>
      </c>
      <c r="S97" t="s">
        <v>288</v>
      </c>
      <c r="T97" t="s">
        <v>318</v>
      </c>
      <c r="U97" t="s">
        <v>319</v>
      </c>
      <c r="V97" t="s">
        <v>320</v>
      </c>
      <c r="W97" t="s">
        <v>273</v>
      </c>
      <c r="X97" t="s">
        <v>296</v>
      </c>
    </row>
    <row r="98" spans="1:24">
      <c r="A98" t="str">
        <f>Hyperlink("https://www.diodes.com/part/view/DMC3025LSD","DMC3025LSD")</f>
        <v>DMC3025LSD</v>
      </c>
      <c r="B98" t="str">
        <f>Hyperlink("https://www.diodes.com/assets/Datasheets/DMC3025LSD.pdf","DMC3025LSD Datasheet")</f>
        <v>DMC3025LSD Datasheet</v>
      </c>
      <c r="C98" t="s">
        <v>323</v>
      </c>
      <c r="D98" t="s">
        <v>25</v>
      </c>
      <c r="E98" t="s">
        <v>26</v>
      </c>
      <c r="F98" t="s">
        <v>69</v>
      </c>
      <c r="G98" t="s">
        <v>28</v>
      </c>
      <c r="H98" t="s">
        <v>285</v>
      </c>
      <c r="I98" t="s">
        <v>71</v>
      </c>
      <c r="J98" t="s">
        <v>324</v>
      </c>
      <c r="L98">
        <v>1.2</v>
      </c>
      <c r="N98" t="s">
        <v>325</v>
      </c>
      <c r="O98" t="s">
        <v>326</v>
      </c>
      <c r="S98" t="s">
        <v>327</v>
      </c>
      <c r="T98" t="s">
        <v>328</v>
      </c>
      <c r="U98" t="s">
        <v>329</v>
      </c>
      <c r="V98" t="s">
        <v>330</v>
      </c>
      <c r="W98" t="s">
        <v>331</v>
      </c>
      <c r="X98" t="s">
        <v>155</v>
      </c>
    </row>
    <row r="99" spans="1:24">
      <c r="A99" t="str">
        <f>Hyperlink("https://www.diodes.com/part/view/DMC3025LSDQ","DMC3025LSDQ")</f>
        <v>DMC3025LSDQ</v>
      </c>
      <c r="B99" t="str">
        <f>Hyperlink("https://www.diodes.com/assets/Datasheets/DMC3025LSDQ.pdf","DMC3025LSDQ Datasheet")</f>
        <v>DMC3025LSDQ Datasheet</v>
      </c>
      <c r="C99" t="s">
        <v>323</v>
      </c>
      <c r="D99" t="s">
        <v>25</v>
      </c>
      <c r="E99" t="s">
        <v>33</v>
      </c>
      <c r="F99" t="s">
        <v>69</v>
      </c>
      <c r="G99" t="s">
        <v>28</v>
      </c>
      <c r="H99" t="s">
        <v>285</v>
      </c>
      <c r="I99" t="s">
        <v>71</v>
      </c>
      <c r="J99" t="s">
        <v>324</v>
      </c>
      <c r="L99">
        <v>1.2</v>
      </c>
      <c r="N99" t="s">
        <v>325</v>
      </c>
      <c r="O99" t="s">
        <v>326</v>
      </c>
      <c r="S99" t="s">
        <v>327</v>
      </c>
      <c r="T99" t="s">
        <v>328</v>
      </c>
      <c r="U99" t="s">
        <v>329</v>
      </c>
      <c r="V99" t="s">
        <v>330</v>
      </c>
      <c r="W99" t="s">
        <v>331</v>
      </c>
      <c r="X99" t="s">
        <v>155</v>
      </c>
    </row>
    <row r="100" spans="1:24">
      <c r="A100" t="str">
        <f>Hyperlink("https://www.diodes.com/part/view/DMC3026LSD","DMC3026LSD")</f>
        <v>DMC3026LSD</v>
      </c>
      <c r="B100" t="str">
        <f>Hyperlink("https://www.diodes.com/assets/Datasheets/DMC3026LSD.pdf","DMC3026LSD Datasheet")</f>
        <v>DMC3026LSD Datasheet</v>
      </c>
      <c r="C100" t="s">
        <v>231</v>
      </c>
      <c r="D100" t="s">
        <v>25</v>
      </c>
      <c r="E100" t="s">
        <v>26</v>
      </c>
      <c r="F100" t="s">
        <v>69</v>
      </c>
      <c r="G100" t="s">
        <v>28</v>
      </c>
      <c r="H100" t="s">
        <v>285</v>
      </c>
      <c r="I100">
        <v>20</v>
      </c>
      <c r="J100" t="s">
        <v>332</v>
      </c>
      <c r="L100">
        <v>1.6</v>
      </c>
      <c r="N100" t="s">
        <v>322</v>
      </c>
      <c r="O100" t="s">
        <v>333</v>
      </c>
      <c r="R100">
        <v>1</v>
      </c>
      <c r="S100">
        <v>3</v>
      </c>
      <c r="T100" t="s">
        <v>334</v>
      </c>
      <c r="U100">
        <v>13.2</v>
      </c>
      <c r="V100" t="s">
        <v>283</v>
      </c>
      <c r="W100">
        <v>15</v>
      </c>
      <c r="X100" t="s">
        <v>155</v>
      </c>
    </row>
    <row r="101" spans="1:24">
      <c r="A101" t="str">
        <f>Hyperlink("https://www.diodes.com/part/view/DMC3028LSD","DMC3028LSD")</f>
        <v>DMC3028LSD</v>
      </c>
      <c r="B101" t="str">
        <f>Hyperlink("https://www.diodes.com/assets/Datasheets/DMC3028LSD.pdf","DMC3028LSD Datasheet")</f>
        <v>DMC3028LSD Datasheet</v>
      </c>
      <c r="C101" t="s">
        <v>68</v>
      </c>
      <c r="D101" t="s">
        <v>25</v>
      </c>
      <c r="E101" t="s">
        <v>26</v>
      </c>
      <c r="F101" t="s">
        <v>69</v>
      </c>
      <c r="G101" t="s">
        <v>28</v>
      </c>
      <c r="H101" t="s">
        <v>285</v>
      </c>
      <c r="I101" t="s">
        <v>71</v>
      </c>
      <c r="J101" t="s">
        <v>335</v>
      </c>
      <c r="L101">
        <v>2.1</v>
      </c>
      <c r="N101" t="s">
        <v>336</v>
      </c>
      <c r="O101" t="s">
        <v>337</v>
      </c>
      <c r="S101" t="s">
        <v>160</v>
      </c>
      <c r="T101" t="s">
        <v>338</v>
      </c>
      <c r="U101" t="s">
        <v>339</v>
      </c>
      <c r="V101" t="s">
        <v>340</v>
      </c>
      <c r="W101" t="s">
        <v>273</v>
      </c>
      <c r="X101" t="s">
        <v>155</v>
      </c>
    </row>
    <row r="102" spans="1:24">
      <c r="A102" t="str">
        <f>Hyperlink("https://www.diodes.com/part/view/DMC3028LSDX","DMC3028LSDX")</f>
        <v>DMC3028LSDX</v>
      </c>
      <c r="B102" t="str">
        <f>Hyperlink("https://www.diodes.com/assets/Datasheets/DMC3028LSDX.pdf","DMC3028LSDX Datasheet")</f>
        <v>DMC3028LSDX Datasheet</v>
      </c>
      <c r="C102" t="s">
        <v>68</v>
      </c>
      <c r="D102" t="s">
        <v>25</v>
      </c>
      <c r="E102" t="s">
        <v>26</v>
      </c>
      <c r="F102" t="s">
        <v>69</v>
      </c>
      <c r="G102" t="s">
        <v>28</v>
      </c>
      <c r="H102" t="s">
        <v>285</v>
      </c>
      <c r="I102" t="s">
        <v>71</v>
      </c>
      <c r="J102" t="s">
        <v>341</v>
      </c>
      <c r="L102">
        <v>1.2</v>
      </c>
      <c r="N102" t="s">
        <v>342</v>
      </c>
      <c r="O102" t="s">
        <v>343</v>
      </c>
      <c r="S102" t="s">
        <v>160</v>
      </c>
      <c r="T102" t="s">
        <v>334</v>
      </c>
      <c r="U102" t="s">
        <v>344</v>
      </c>
      <c r="V102" t="s">
        <v>345</v>
      </c>
      <c r="W102" t="s">
        <v>273</v>
      </c>
      <c r="X102" t="s">
        <v>155</v>
      </c>
    </row>
    <row r="103" spans="1:24">
      <c r="A103" t="str">
        <f>Hyperlink("https://www.diodes.com/part/view/DMC3028LSDXQ","DMC3028LSDXQ")</f>
        <v>DMC3028LSDXQ</v>
      </c>
      <c r="B103" t="str">
        <f>Hyperlink("https://www.diodes.com/assets/Datasheets/DMC3028LSDXQ.pdf","DMC3028LSDXQ Datasheet")</f>
        <v>DMC3028LSDXQ Datasheet</v>
      </c>
      <c r="C103" t="s">
        <v>346</v>
      </c>
      <c r="D103" t="s">
        <v>25</v>
      </c>
      <c r="E103" t="s">
        <v>33</v>
      </c>
      <c r="F103" t="s">
        <v>69</v>
      </c>
      <c r="G103" t="s">
        <v>28</v>
      </c>
      <c r="H103" t="s">
        <v>285</v>
      </c>
      <c r="I103" t="s">
        <v>71</v>
      </c>
      <c r="J103" t="s">
        <v>341</v>
      </c>
      <c r="L103">
        <v>1.2</v>
      </c>
      <c r="N103" t="s">
        <v>342</v>
      </c>
      <c r="O103" t="s">
        <v>343</v>
      </c>
      <c r="S103" t="s">
        <v>160</v>
      </c>
      <c r="T103" t="s">
        <v>334</v>
      </c>
      <c r="U103" t="s">
        <v>344</v>
      </c>
      <c r="V103" t="s">
        <v>345</v>
      </c>
      <c r="W103" t="s">
        <v>273</v>
      </c>
      <c r="X103" t="s">
        <v>155</v>
      </c>
    </row>
    <row r="104" spans="1:24">
      <c r="A104" t="str">
        <f>Hyperlink("https://www.diodes.com/part/view/DMC3032LFDB","DMC3032LFDB")</f>
        <v>DMC3032LFDB</v>
      </c>
      <c r="B104" t="str">
        <f>Hyperlink("https://www.diodes.com/assets/Datasheets/DMC3032LFDB.pdf","DMC3032LFDB Datasheet")</f>
        <v>DMC3032LFDB Datasheet</v>
      </c>
      <c r="C104" t="s">
        <v>68</v>
      </c>
      <c r="D104" t="s">
        <v>28</v>
      </c>
      <c r="E104" t="s">
        <v>26</v>
      </c>
      <c r="F104" t="s">
        <v>69</v>
      </c>
      <c r="G104" t="s">
        <v>28</v>
      </c>
      <c r="H104" t="s">
        <v>285</v>
      </c>
      <c r="I104" t="s">
        <v>71</v>
      </c>
      <c r="J104" t="s">
        <v>347</v>
      </c>
      <c r="L104">
        <v>1.28</v>
      </c>
      <c r="N104" t="s">
        <v>348</v>
      </c>
      <c r="O104" t="s">
        <v>349</v>
      </c>
      <c r="R104" t="s">
        <v>276</v>
      </c>
      <c r="S104" t="s">
        <v>350</v>
      </c>
      <c r="T104" t="s">
        <v>351</v>
      </c>
      <c r="U104" t="s">
        <v>352</v>
      </c>
      <c r="V104" t="s">
        <v>353</v>
      </c>
      <c r="W104" t="s">
        <v>354</v>
      </c>
      <c r="X104" t="s">
        <v>125</v>
      </c>
    </row>
    <row r="105" spans="1:24">
      <c r="A105" t="str">
        <f>Hyperlink("https://www.diodes.com/part/view/DMC3032LSD","DMC3032LSD")</f>
        <v>DMC3032LSD</v>
      </c>
      <c r="B105" t="str">
        <f>Hyperlink("https://www.diodes.com/assets/Datasheets/ds32153.pdf","DMC3032LSD Datasheet")</f>
        <v>DMC3032LSD Datasheet</v>
      </c>
      <c r="C105" t="s">
        <v>68</v>
      </c>
      <c r="D105" t="s">
        <v>25</v>
      </c>
      <c r="E105" t="s">
        <v>26</v>
      </c>
      <c r="F105" t="s">
        <v>69</v>
      </c>
      <c r="G105" t="s">
        <v>28</v>
      </c>
      <c r="H105" t="s">
        <v>285</v>
      </c>
      <c r="I105" t="s">
        <v>71</v>
      </c>
      <c r="J105" t="s">
        <v>355</v>
      </c>
      <c r="L105">
        <v>2.5</v>
      </c>
      <c r="N105" t="s">
        <v>356</v>
      </c>
      <c r="O105" t="s">
        <v>357</v>
      </c>
      <c r="S105" t="s">
        <v>313</v>
      </c>
      <c r="T105" t="s">
        <v>358</v>
      </c>
      <c r="U105" t="s">
        <v>359</v>
      </c>
      <c r="V105" t="s">
        <v>360</v>
      </c>
      <c r="W105" t="s">
        <v>273</v>
      </c>
      <c r="X105" t="s">
        <v>155</v>
      </c>
    </row>
    <row r="106" spans="1:24">
      <c r="A106" t="str">
        <f>Hyperlink("https://www.diodes.com/part/view/DMC3060LVT","DMC3060LVT")</f>
        <v>DMC3060LVT</v>
      </c>
      <c r="B106" t="str">
        <f>Hyperlink("https://www.diodes.com/assets/Datasheets/DMC3060LVT.pdf","DMC3060LVT Datasheet")</f>
        <v>DMC3060LVT Datasheet</v>
      </c>
      <c r="C106" t="s">
        <v>68</v>
      </c>
      <c r="D106" t="s">
        <v>28</v>
      </c>
      <c r="E106" t="s">
        <v>26</v>
      </c>
      <c r="F106" t="s">
        <v>69</v>
      </c>
      <c r="G106" t="s">
        <v>28</v>
      </c>
      <c r="H106" t="s">
        <v>285</v>
      </c>
      <c r="I106" t="s">
        <v>129</v>
      </c>
      <c r="J106" t="s">
        <v>361</v>
      </c>
      <c r="L106">
        <v>1.16</v>
      </c>
      <c r="N106" t="s">
        <v>362</v>
      </c>
      <c r="O106" t="s">
        <v>363</v>
      </c>
      <c r="S106" t="s">
        <v>364</v>
      </c>
      <c r="T106" t="s">
        <v>365</v>
      </c>
      <c r="U106" t="s">
        <v>366</v>
      </c>
      <c r="V106" t="s">
        <v>367</v>
      </c>
      <c r="W106" t="s">
        <v>273</v>
      </c>
      <c r="X106" t="s">
        <v>128</v>
      </c>
    </row>
    <row r="107" spans="1:24">
      <c r="A107" t="str">
        <f>Hyperlink("https://www.diodes.com/part/view/DMC3060LVTQ","DMC3060LVTQ")</f>
        <v>DMC3060LVTQ</v>
      </c>
      <c r="B107" t="str">
        <f>Hyperlink("https://www.diodes.com/assets/Datasheets/DMC3060LVTQ.pdf","DMC3060LVTQ Datasheet")</f>
        <v>DMC3060LVTQ Datasheet</v>
      </c>
      <c r="C107" t="s">
        <v>68</v>
      </c>
      <c r="D107" t="s">
        <v>25</v>
      </c>
      <c r="E107" t="s">
        <v>33</v>
      </c>
      <c r="F107" t="s">
        <v>69</v>
      </c>
      <c r="G107" t="s">
        <v>28</v>
      </c>
      <c r="H107" t="s">
        <v>285</v>
      </c>
      <c r="I107" t="s">
        <v>129</v>
      </c>
      <c r="J107" t="s">
        <v>361</v>
      </c>
      <c r="L107">
        <v>1.16</v>
      </c>
      <c r="N107" t="s">
        <v>362</v>
      </c>
      <c r="O107" t="s">
        <v>368</v>
      </c>
      <c r="S107" t="s">
        <v>364</v>
      </c>
      <c r="T107" t="s">
        <v>365</v>
      </c>
      <c r="U107" t="s">
        <v>366</v>
      </c>
      <c r="V107" t="s">
        <v>367</v>
      </c>
      <c r="W107" t="s">
        <v>273</v>
      </c>
      <c r="X107" t="s">
        <v>128</v>
      </c>
    </row>
    <row r="108" spans="1:24">
      <c r="A108" t="str">
        <f>Hyperlink("https://www.diodes.com/part/view/DMC3061SVTQ","DMC3061SVTQ")</f>
        <v>DMC3061SVTQ</v>
      </c>
      <c r="B108" t="str">
        <f>Hyperlink("https://www.diodes.com/assets/Datasheets/DMC3061SVTQ.pdf","DMC3061SVTQ Datasheet")</f>
        <v>DMC3061SVTQ Datasheet</v>
      </c>
      <c r="C108" t="s">
        <v>68</v>
      </c>
      <c r="D108" t="s">
        <v>25</v>
      </c>
      <c r="E108" t="s">
        <v>33</v>
      </c>
      <c r="F108" t="s">
        <v>69</v>
      </c>
      <c r="G108" t="s">
        <v>28</v>
      </c>
      <c r="H108" t="s">
        <v>285</v>
      </c>
      <c r="I108" t="s">
        <v>71</v>
      </c>
      <c r="J108" t="s">
        <v>369</v>
      </c>
      <c r="L108">
        <v>1.08</v>
      </c>
      <c r="N108" t="s">
        <v>362</v>
      </c>
      <c r="O108" t="s">
        <v>363</v>
      </c>
      <c r="S108" t="s">
        <v>370</v>
      </c>
      <c r="T108" t="s">
        <v>371</v>
      </c>
      <c r="U108" t="s">
        <v>372</v>
      </c>
      <c r="V108" t="s">
        <v>373</v>
      </c>
      <c r="W108" t="s">
        <v>273</v>
      </c>
      <c r="X108" t="s">
        <v>128</v>
      </c>
    </row>
    <row r="109" spans="1:24">
      <c r="A109" t="str">
        <f>Hyperlink("https://www.diodes.com/part/view/DMC3071LVT","DMC3071LVT")</f>
        <v>DMC3071LVT</v>
      </c>
      <c r="B109" t="str">
        <f>Hyperlink("https://www.diodes.com/assets/Datasheets/DMC3071LVT.pdf","DMC3071LVT Datasheet")</f>
        <v>DMC3071LVT Datasheet</v>
      </c>
      <c r="C109" t="s">
        <v>68</v>
      </c>
      <c r="D109" t="s">
        <v>28</v>
      </c>
      <c r="E109" t="s">
        <v>26</v>
      </c>
      <c r="F109" t="s">
        <v>69</v>
      </c>
      <c r="G109" t="s">
        <v>28</v>
      </c>
      <c r="H109" t="s">
        <v>285</v>
      </c>
      <c r="I109" t="s">
        <v>71</v>
      </c>
      <c r="J109" t="s">
        <v>374</v>
      </c>
      <c r="L109">
        <v>1.1</v>
      </c>
      <c r="N109" t="s">
        <v>375</v>
      </c>
      <c r="O109" t="s">
        <v>376</v>
      </c>
      <c r="S109" t="s">
        <v>377</v>
      </c>
      <c r="T109" t="s">
        <v>378</v>
      </c>
      <c r="U109" t="s">
        <v>379</v>
      </c>
      <c r="V109" t="s">
        <v>380</v>
      </c>
      <c r="W109" t="s">
        <v>273</v>
      </c>
      <c r="X109" t="s">
        <v>128</v>
      </c>
    </row>
    <row r="110" spans="1:24">
      <c r="A110" t="str">
        <f>Hyperlink("https://www.diodes.com/part/view/DMC31D5UDA","DMC31D5UDA")</f>
        <v>DMC31D5UDA</v>
      </c>
      <c r="B110" t="str">
        <f>Hyperlink("https://www.diodes.com/assets/Datasheets/DMC31D5UDA.pdf","DMC31D5UDA Datasheet")</f>
        <v>DMC31D5UDA Datasheet</v>
      </c>
      <c r="C110" t="s">
        <v>68</v>
      </c>
      <c r="D110" t="s">
        <v>28</v>
      </c>
      <c r="E110" t="s">
        <v>26</v>
      </c>
      <c r="F110" t="s">
        <v>69</v>
      </c>
      <c r="G110" t="s">
        <v>25</v>
      </c>
      <c r="H110" t="s">
        <v>285</v>
      </c>
      <c r="I110" t="s">
        <v>129</v>
      </c>
      <c r="J110" t="s">
        <v>381</v>
      </c>
      <c r="L110">
        <v>0.37</v>
      </c>
      <c r="O110" t="s">
        <v>382</v>
      </c>
      <c r="P110" t="s">
        <v>383</v>
      </c>
      <c r="Q110" t="s">
        <v>384</v>
      </c>
      <c r="R110" t="s">
        <v>120</v>
      </c>
      <c r="S110" t="s">
        <v>121</v>
      </c>
      <c r="T110" t="s">
        <v>385</v>
      </c>
      <c r="V110" t="s">
        <v>386</v>
      </c>
      <c r="W110" t="s">
        <v>273</v>
      </c>
      <c r="X110" t="s">
        <v>225</v>
      </c>
    </row>
    <row r="111" spans="1:24">
      <c r="A111" t="str">
        <f>Hyperlink("https://www.diodes.com/part/view/DMC31D5UDAQ","DMC31D5UDAQ")</f>
        <v>DMC31D5UDAQ</v>
      </c>
      <c r="B111" t="str">
        <f>Hyperlink("https://www.diodes.com/assets/Datasheets/DMC31D5UDAQ.pdf","DMC31D5UDAQ Datasheet")</f>
        <v>DMC31D5UDAQ Datasheet</v>
      </c>
      <c r="C111" t="s">
        <v>68</v>
      </c>
      <c r="D111" t="s">
        <v>25</v>
      </c>
      <c r="E111" t="s">
        <v>33</v>
      </c>
      <c r="F111" t="s">
        <v>69</v>
      </c>
      <c r="G111" t="s">
        <v>25</v>
      </c>
      <c r="H111" t="s">
        <v>285</v>
      </c>
      <c r="I111" t="s">
        <v>387</v>
      </c>
      <c r="J111" t="s">
        <v>381</v>
      </c>
      <c r="L111">
        <v>0.37</v>
      </c>
      <c r="O111" t="s">
        <v>382</v>
      </c>
      <c r="P111" t="s">
        <v>383</v>
      </c>
      <c r="Q111" t="s">
        <v>384</v>
      </c>
      <c r="R111" t="s">
        <v>120</v>
      </c>
      <c r="S111" t="s">
        <v>388</v>
      </c>
      <c r="T111" t="s">
        <v>385</v>
      </c>
      <c r="V111" t="s">
        <v>386</v>
      </c>
      <c r="W111" t="s">
        <v>389</v>
      </c>
      <c r="X111" t="s">
        <v>225</v>
      </c>
    </row>
    <row r="112" spans="1:24">
      <c r="A112" t="str">
        <f>Hyperlink("https://www.diodes.com/part/view/DMC31D5UDJ","DMC31D5UDJ")</f>
        <v>DMC31D5UDJ</v>
      </c>
      <c r="B112" t="str">
        <f>Hyperlink("https://www.diodes.com/assets/Datasheets/DMC31D5UDJ.pdf","DMC31D5UDJ Datasheet")</f>
        <v>DMC31D5UDJ Datasheet</v>
      </c>
      <c r="C112" t="s">
        <v>68</v>
      </c>
      <c r="D112" t="s">
        <v>25</v>
      </c>
      <c r="E112" t="s">
        <v>26</v>
      </c>
      <c r="F112" t="s">
        <v>69</v>
      </c>
      <c r="G112" t="s">
        <v>25</v>
      </c>
      <c r="H112" t="s">
        <v>285</v>
      </c>
      <c r="I112" t="s">
        <v>129</v>
      </c>
      <c r="J112" t="s">
        <v>390</v>
      </c>
      <c r="L112">
        <v>0.35</v>
      </c>
      <c r="O112" t="s">
        <v>391</v>
      </c>
      <c r="P112" t="s">
        <v>383</v>
      </c>
      <c r="Q112" t="s">
        <v>384</v>
      </c>
      <c r="S112" t="s">
        <v>121</v>
      </c>
      <c r="T112" t="s">
        <v>385</v>
      </c>
      <c r="V112" t="s">
        <v>386</v>
      </c>
      <c r="W112" t="s">
        <v>273</v>
      </c>
      <c r="X112" t="s">
        <v>274</v>
      </c>
    </row>
    <row r="113" spans="1:24">
      <c r="A113" t="str">
        <f>Hyperlink("https://www.diodes.com/part/view/DMC3350LDW","DMC3350LDW")</f>
        <v>DMC3350LDW</v>
      </c>
      <c r="B113" t="str">
        <f>Hyperlink("https://www.diodes.com/assets/Datasheets/DMC3350LDW.pdf","DMC3350LDW Datasheet")</f>
        <v>DMC3350LDW Datasheet</v>
      </c>
      <c r="C113" t="s">
        <v>231</v>
      </c>
      <c r="D113" t="s">
        <v>28</v>
      </c>
      <c r="E113" t="s">
        <v>26</v>
      </c>
      <c r="F113" t="s">
        <v>69</v>
      </c>
      <c r="G113" t="s">
        <v>25</v>
      </c>
      <c r="H113">
        <v>30</v>
      </c>
      <c r="I113">
        <v>20</v>
      </c>
      <c r="J113" t="s">
        <v>392</v>
      </c>
      <c r="L113">
        <v>0.49</v>
      </c>
      <c r="N113" t="s">
        <v>393</v>
      </c>
      <c r="O113" t="s">
        <v>394</v>
      </c>
      <c r="R113" t="s">
        <v>395</v>
      </c>
      <c r="S113" t="s">
        <v>396</v>
      </c>
      <c r="T113" t="s">
        <v>397</v>
      </c>
      <c r="V113" t="s">
        <v>398</v>
      </c>
      <c r="W113" t="s">
        <v>273</v>
      </c>
      <c r="X113" t="s">
        <v>37</v>
      </c>
    </row>
    <row r="114" spans="1:24">
      <c r="A114" t="str">
        <f>Hyperlink("https://www.diodes.com/part/view/DMC3350LDWQ","DMC3350LDWQ")</f>
        <v>DMC3350LDWQ</v>
      </c>
      <c r="B114" t="str">
        <f>Hyperlink("https://www.diodes.com/assets/Datasheets/DMC3350LDWQ.pdf","DMC3350LDWQ Datasheet")</f>
        <v>DMC3350LDWQ Datasheet</v>
      </c>
      <c r="C114" t="s">
        <v>231</v>
      </c>
      <c r="D114" t="s">
        <v>25</v>
      </c>
      <c r="E114" t="s">
        <v>33</v>
      </c>
      <c r="F114" t="s">
        <v>69</v>
      </c>
      <c r="G114" t="s">
        <v>25</v>
      </c>
      <c r="H114">
        <v>30</v>
      </c>
      <c r="I114">
        <v>20</v>
      </c>
      <c r="J114" t="s">
        <v>392</v>
      </c>
      <c r="L114">
        <v>0.49</v>
      </c>
      <c r="N114" t="s">
        <v>393</v>
      </c>
      <c r="O114" t="s">
        <v>394</v>
      </c>
      <c r="R114" t="s">
        <v>395</v>
      </c>
      <c r="S114" t="s">
        <v>396</v>
      </c>
      <c r="T114" t="s">
        <v>397</v>
      </c>
      <c r="V114" t="s">
        <v>398</v>
      </c>
      <c r="W114" t="s">
        <v>273</v>
      </c>
      <c r="X114" t="s">
        <v>37</v>
      </c>
    </row>
    <row r="115" spans="1:24">
      <c r="A115" t="str">
        <f>Hyperlink("https://www.diodes.com/part/view/DMC3400SDW","DMC3400SDW")</f>
        <v>DMC3400SDW</v>
      </c>
      <c r="B115" t="str">
        <f>Hyperlink("https://www.diodes.com/assets/Datasheets/DMC3400SDW.pdf","DMC3400SDW Datasheet")</f>
        <v>DMC3400SDW Datasheet</v>
      </c>
      <c r="C115" t="s">
        <v>68</v>
      </c>
      <c r="D115" t="s">
        <v>28</v>
      </c>
      <c r="E115" t="s">
        <v>26</v>
      </c>
      <c r="F115" t="s">
        <v>69</v>
      </c>
      <c r="G115" t="s">
        <v>25</v>
      </c>
      <c r="H115" t="s">
        <v>285</v>
      </c>
      <c r="I115" t="s">
        <v>71</v>
      </c>
      <c r="J115" t="s">
        <v>399</v>
      </c>
      <c r="L115">
        <v>0.39</v>
      </c>
      <c r="N115" t="s">
        <v>393</v>
      </c>
      <c r="O115" t="s">
        <v>394</v>
      </c>
      <c r="S115" t="s">
        <v>396</v>
      </c>
      <c r="T115" t="s">
        <v>88</v>
      </c>
      <c r="U115" t="s">
        <v>400</v>
      </c>
      <c r="V115" t="s">
        <v>401</v>
      </c>
      <c r="W115" t="s">
        <v>273</v>
      </c>
      <c r="X115" t="s">
        <v>37</v>
      </c>
    </row>
    <row r="116" spans="1:24">
      <c r="A116" t="str">
        <f>Hyperlink("https://www.diodes.com/part/view/DMC3401LDW","DMC3401LDW")</f>
        <v>DMC3401LDW</v>
      </c>
      <c r="B116" t="str">
        <f>Hyperlink("https://www.diodes.com/assets/Datasheets/DMC3401LDW.pdf","DMC3401LDW Datasheet")</f>
        <v>DMC3401LDW Datasheet</v>
      </c>
      <c r="C116" t="s">
        <v>68</v>
      </c>
      <c r="D116" t="s">
        <v>28</v>
      </c>
      <c r="E116" t="s">
        <v>26</v>
      </c>
      <c r="F116" t="s">
        <v>69</v>
      </c>
      <c r="G116" t="s">
        <v>25</v>
      </c>
      <c r="H116" t="s">
        <v>285</v>
      </c>
      <c r="I116" t="s">
        <v>71</v>
      </c>
      <c r="J116" t="s">
        <v>402</v>
      </c>
      <c r="L116">
        <v>0.4</v>
      </c>
      <c r="N116" t="s">
        <v>393</v>
      </c>
      <c r="O116" t="s">
        <v>394</v>
      </c>
      <c r="S116" t="s">
        <v>396</v>
      </c>
      <c r="T116" t="s">
        <v>280</v>
      </c>
      <c r="U116" t="s">
        <v>403</v>
      </c>
      <c r="V116" t="s">
        <v>404</v>
      </c>
      <c r="W116" t="s">
        <v>273</v>
      </c>
      <c r="X116" t="s">
        <v>37</v>
      </c>
    </row>
    <row r="117" spans="1:24">
      <c r="A117" t="str">
        <f>Hyperlink("https://www.diodes.com/part/view/DMC3730UFL3","DMC3730UFL3")</f>
        <v>DMC3730UFL3</v>
      </c>
      <c r="B117" t="str">
        <f>Hyperlink("https://www.diodes.com/assets/Datasheets/DMC3730UFL3.pdf","DMC3730UFL3 Datasheet")</f>
        <v>DMC3730UFL3 Datasheet</v>
      </c>
      <c r="C117" t="s">
        <v>68</v>
      </c>
      <c r="D117" t="s">
        <v>25</v>
      </c>
      <c r="E117" t="s">
        <v>26</v>
      </c>
      <c r="F117" t="s">
        <v>69</v>
      </c>
      <c r="G117" t="s">
        <v>25</v>
      </c>
      <c r="H117" t="s">
        <v>285</v>
      </c>
      <c r="I117" t="s">
        <v>84</v>
      </c>
      <c r="J117" t="s">
        <v>405</v>
      </c>
      <c r="L117">
        <v>0.81</v>
      </c>
      <c r="O117" t="s">
        <v>406</v>
      </c>
      <c r="P117" t="s">
        <v>407</v>
      </c>
      <c r="Q117" t="s">
        <v>408</v>
      </c>
      <c r="S117" t="s">
        <v>409</v>
      </c>
      <c r="T117" t="s">
        <v>410</v>
      </c>
      <c r="V117" t="s">
        <v>411</v>
      </c>
      <c r="W117" t="s">
        <v>236</v>
      </c>
      <c r="X117" t="s">
        <v>412</v>
      </c>
    </row>
    <row r="118" spans="1:24">
      <c r="A118" t="str">
        <f>Hyperlink("https://www.diodes.com/part/view/DMC3730UVT","DMC3730UVT")</f>
        <v>DMC3730UVT</v>
      </c>
      <c r="B118" t="str">
        <f>Hyperlink("https://www.diodes.com/assets/Datasheets/DMC3730UVT.pdf","DMC3730UVT Datasheet")</f>
        <v>DMC3730UVT Datasheet</v>
      </c>
      <c r="C118" t="s">
        <v>68</v>
      </c>
      <c r="D118" t="s">
        <v>28</v>
      </c>
      <c r="E118" t="s">
        <v>26</v>
      </c>
      <c r="F118" t="s">
        <v>69</v>
      </c>
      <c r="G118" t="s">
        <v>25</v>
      </c>
      <c r="H118" t="s">
        <v>97</v>
      </c>
      <c r="I118" t="s">
        <v>84</v>
      </c>
      <c r="J118" t="s">
        <v>413</v>
      </c>
      <c r="L118">
        <v>0.9</v>
      </c>
      <c r="O118" t="s">
        <v>414</v>
      </c>
      <c r="P118" t="s">
        <v>415</v>
      </c>
      <c r="Q118" t="s">
        <v>416</v>
      </c>
      <c r="R118" t="s">
        <v>417</v>
      </c>
      <c r="S118" t="s">
        <v>418</v>
      </c>
      <c r="T118" t="s">
        <v>419</v>
      </c>
      <c r="V118" t="s">
        <v>420</v>
      </c>
      <c r="W118" t="s">
        <v>174</v>
      </c>
      <c r="X118" t="s">
        <v>128</v>
      </c>
    </row>
    <row r="119" spans="1:24">
      <c r="A119" t="str">
        <f>Hyperlink("https://www.diodes.com/part/view/DMC3732UVT","DMC3732UVT")</f>
        <v>DMC3732UVT</v>
      </c>
      <c r="B119" t="str">
        <f>Hyperlink("https://www.diodes.com/assets/Datasheets/DMC3732UVT.pdf","DMC3732UVT Datasheet")</f>
        <v>DMC3732UVT Datasheet</v>
      </c>
      <c r="C119" t="s">
        <v>231</v>
      </c>
      <c r="D119" t="s">
        <v>28</v>
      </c>
      <c r="E119" t="s">
        <v>26</v>
      </c>
      <c r="F119" t="s">
        <v>69</v>
      </c>
      <c r="G119" t="s">
        <v>28</v>
      </c>
      <c r="H119">
        <v>30</v>
      </c>
      <c r="I119">
        <v>8</v>
      </c>
      <c r="J119" t="s">
        <v>405</v>
      </c>
      <c r="L119">
        <v>0.83</v>
      </c>
      <c r="O119" t="s">
        <v>406</v>
      </c>
      <c r="P119" t="s">
        <v>407</v>
      </c>
      <c r="Q119" t="s">
        <v>408</v>
      </c>
      <c r="R119" t="s">
        <v>417</v>
      </c>
      <c r="S119" t="s">
        <v>409</v>
      </c>
      <c r="T119" t="s">
        <v>234</v>
      </c>
      <c r="V119" t="s">
        <v>421</v>
      </c>
      <c r="W119" t="s">
        <v>422</v>
      </c>
      <c r="X119" t="s">
        <v>128</v>
      </c>
    </row>
    <row r="120" spans="1:24">
      <c r="A120" t="str">
        <f>Hyperlink("https://www.diodes.com/part/view/DMC3732UVTQ","DMC3732UVTQ")</f>
        <v>DMC3732UVTQ</v>
      </c>
      <c r="B120" t="str">
        <f>Hyperlink("https://www.diodes.com/assets/Datasheets/DMC3732UVTQ.pdf","DMC3732UVTQ Datasheet")</f>
        <v>DMC3732UVTQ Datasheet</v>
      </c>
      <c r="C120" t="s">
        <v>231</v>
      </c>
      <c r="D120" t="s">
        <v>25</v>
      </c>
      <c r="E120" t="s">
        <v>33</v>
      </c>
      <c r="F120" t="s">
        <v>69</v>
      </c>
      <c r="G120" t="s">
        <v>28</v>
      </c>
      <c r="H120">
        <v>30</v>
      </c>
      <c r="I120">
        <v>8</v>
      </c>
      <c r="J120" t="s">
        <v>405</v>
      </c>
      <c r="L120">
        <v>0.83</v>
      </c>
      <c r="O120" t="s">
        <v>406</v>
      </c>
      <c r="P120" t="s">
        <v>407</v>
      </c>
      <c r="Q120" t="s">
        <v>408</v>
      </c>
      <c r="R120" t="s">
        <v>417</v>
      </c>
      <c r="S120" t="s">
        <v>409</v>
      </c>
      <c r="T120" t="s">
        <v>234</v>
      </c>
      <c r="V120" t="s">
        <v>421</v>
      </c>
      <c r="W120" t="s">
        <v>422</v>
      </c>
      <c r="X120" t="s">
        <v>128</v>
      </c>
    </row>
    <row r="121" spans="1:24">
      <c r="A121" t="str">
        <f>Hyperlink("https://www.diodes.com/part/view/DMC4015SSD","DMC4015SSD")</f>
        <v>DMC4015SSD</v>
      </c>
      <c r="B121" t="str">
        <f>Hyperlink("https://www.diodes.com/assets/Datasheets/DMC4015SSD.pdf","DMC4015SSD Datasheet")</f>
        <v>DMC4015SSD Datasheet</v>
      </c>
      <c r="C121" t="s">
        <v>68</v>
      </c>
      <c r="D121" t="s">
        <v>25</v>
      </c>
      <c r="E121" t="s">
        <v>26</v>
      </c>
      <c r="F121" t="s">
        <v>69</v>
      </c>
      <c r="G121" t="s">
        <v>28</v>
      </c>
      <c r="H121" t="s">
        <v>423</v>
      </c>
      <c r="I121" t="s">
        <v>71</v>
      </c>
      <c r="J121" t="s">
        <v>424</v>
      </c>
      <c r="L121">
        <v>1.7</v>
      </c>
      <c r="N121" t="s">
        <v>425</v>
      </c>
      <c r="O121" t="s">
        <v>325</v>
      </c>
      <c r="S121" t="s">
        <v>160</v>
      </c>
      <c r="T121" t="s">
        <v>426</v>
      </c>
      <c r="U121" t="s">
        <v>427</v>
      </c>
      <c r="V121" t="s">
        <v>428</v>
      </c>
      <c r="W121" t="s">
        <v>71</v>
      </c>
      <c r="X121" t="s">
        <v>155</v>
      </c>
    </row>
    <row r="122" spans="1:24">
      <c r="A122" t="str">
        <f>Hyperlink("https://www.diodes.com/part/view/DMC4028SSD","DMC4028SSD")</f>
        <v>DMC4028SSD</v>
      </c>
      <c r="B122" t="str">
        <f>Hyperlink("https://www.diodes.com/assets/Datasheets/DMC4028SSD.pdf","DMC4028SSD Datasheet")</f>
        <v>DMC4028SSD Datasheet</v>
      </c>
      <c r="C122" t="s">
        <v>68</v>
      </c>
      <c r="D122" t="s">
        <v>25</v>
      </c>
      <c r="E122" t="s">
        <v>26</v>
      </c>
      <c r="F122" t="s">
        <v>69</v>
      </c>
      <c r="G122" t="s">
        <v>28</v>
      </c>
      <c r="H122" t="s">
        <v>423</v>
      </c>
      <c r="I122" t="s">
        <v>71</v>
      </c>
      <c r="J122" t="s">
        <v>429</v>
      </c>
      <c r="L122">
        <v>1.8</v>
      </c>
      <c r="N122" t="s">
        <v>430</v>
      </c>
      <c r="O122" t="s">
        <v>431</v>
      </c>
      <c r="S122" t="s">
        <v>160</v>
      </c>
      <c r="T122" t="s">
        <v>432</v>
      </c>
      <c r="U122" t="s">
        <v>433</v>
      </c>
      <c r="V122" t="s">
        <v>434</v>
      </c>
      <c r="W122" t="s">
        <v>71</v>
      </c>
      <c r="X122" t="s">
        <v>155</v>
      </c>
    </row>
    <row r="123" spans="1:24">
      <c r="A123" t="str">
        <f>Hyperlink("https://www.diodes.com/part/view/DMC4029SK4","DMC4029SK4")</f>
        <v>DMC4029SK4</v>
      </c>
      <c r="B123" t="str">
        <f>Hyperlink("https://www.diodes.com/assets/Datasheets/DMC4029SK4.pdf","DMC4029SK4 Datasheet")</f>
        <v>DMC4029SK4 Datasheet</v>
      </c>
      <c r="C123" t="s">
        <v>68</v>
      </c>
      <c r="D123" t="s">
        <v>28</v>
      </c>
      <c r="E123" t="s">
        <v>26</v>
      </c>
      <c r="F123" t="s">
        <v>69</v>
      </c>
      <c r="G123" t="s">
        <v>28</v>
      </c>
      <c r="H123" t="s">
        <v>423</v>
      </c>
      <c r="I123" t="s">
        <v>71</v>
      </c>
      <c r="J123" t="s">
        <v>435</v>
      </c>
      <c r="L123">
        <v>2.9</v>
      </c>
      <c r="N123" t="s">
        <v>436</v>
      </c>
      <c r="O123" t="s">
        <v>437</v>
      </c>
      <c r="S123" t="s">
        <v>160</v>
      </c>
      <c r="T123" t="s">
        <v>438</v>
      </c>
      <c r="U123" t="s">
        <v>439</v>
      </c>
      <c r="V123" t="s">
        <v>440</v>
      </c>
      <c r="W123" t="s">
        <v>71</v>
      </c>
      <c r="X123" t="s">
        <v>441</v>
      </c>
    </row>
    <row r="124" spans="1:24">
      <c r="A124" t="str">
        <f>Hyperlink("https://www.diodes.com/part/view/DMC4029SSD","DMC4029SSD")</f>
        <v>DMC4029SSD</v>
      </c>
      <c r="B124" t="str">
        <f>Hyperlink("https://www.diodes.com/assets/Datasheets/DMC4029SSD.pdf","DMC4029SSD Datasheet")</f>
        <v>DMC4029SSD Datasheet</v>
      </c>
      <c r="C124" t="s">
        <v>68</v>
      </c>
      <c r="D124" t="s">
        <v>25</v>
      </c>
      <c r="E124" t="s">
        <v>26</v>
      </c>
      <c r="F124" t="s">
        <v>69</v>
      </c>
      <c r="G124" t="s">
        <v>28</v>
      </c>
      <c r="H124" t="s">
        <v>423</v>
      </c>
      <c r="I124" t="s">
        <v>71</v>
      </c>
      <c r="J124" t="s">
        <v>442</v>
      </c>
      <c r="L124">
        <v>1.8</v>
      </c>
      <c r="N124" t="s">
        <v>436</v>
      </c>
      <c r="O124" t="s">
        <v>437</v>
      </c>
      <c r="S124" t="s">
        <v>160</v>
      </c>
      <c r="T124" t="s">
        <v>438</v>
      </c>
      <c r="U124" t="s">
        <v>439</v>
      </c>
      <c r="V124" t="s">
        <v>440</v>
      </c>
      <c r="W124" t="s">
        <v>71</v>
      </c>
      <c r="X124" t="s">
        <v>155</v>
      </c>
    </row>
    <row r="125" spans="1:24">
      <c r="A125" t="str">
        <f>Hyperlink("https://www.diodes.com/part/view/DMC4040SSDQ","DMC4040SSDQ")</f>
        <v>DMC4040SSDQ</v>
      </c>
      <c r="B125" t="str">
        <f>Hyperlink("https://www.diodes.com/assets/Datasheets/products_inactive_data/DMC4040SSDQ.pdf","DMC4040SSDQ Datasheet")</f>
        <v>DMC4040SSDQ Datasheet</v>
      </c>
      <c r="C125" t="s">
        <v>68</v>
      </c>
      <c r="D125" t="s">
        <v>25</v>
      </c>
      <c r="E125" t="s">
        <v>33</v>
      </c>
      <c r="F125" t="s">
        <v>69</v>
      </c>
      <c r="G125" t="s">
        <v>28</v>
      </c>
      <c r="H125" t="s">
        <v>423</v>
      </c>
      <c r="I125" t="s">
        <v>71</v>
      </c>
      <c r="J125" t="s">
        <v>443</v>
      </c>
      <c r="L125">
        <v>1.8</v>
      </c>
      <c r="N125" t="s">
        <v>97</v>
      </c>
      <c r="O125" t="s">
        <v>444</v>
      </c>
      <c r="S125" t="s">
        <v>445</v>
      </c>
      <c r="T125" t="s">
        <v>446</v>
      </c>
      <c r="U125" t="s">
        <v>447</v>
      </c>
      <c r="V125" t="s">
        <v>448</v>
      </c>
      <c r="W125" t="s">
        <v>71</v>
      </c>
      <c r="X125" t="s">
        <v>155</v>
      </c>
    </row>
    <row r="126" spans="1:24">
      <c r="A126" t="str">
        <f>Hyperlink("https://www.diodes.com/part/view/DMC4047LSD","DMC4047LSD")</f>
        <v>DMC4047LSD</v>
      </c>
      <c r="B126" t="str">
        <f>Hyperlink("https://www.diodes.com/assets/Datasheets/DMC4047LSD.pdf","DMC4047LSD Datasheet")</f>
        <v>DMC4047LSD Datasheet</v>
      </c>
      <c r="C126" t="s">
        <v>68</v>
      </c>
      <c r="D126" t="s">
        <v>25</v>
      </c>
      <c r="E126" t="s">
        <v>26</v>
      </c>
      <c r="F126" t="s">
        <v>69</v>
      </c>
      <c r="G126" t="s">
        <v>28</v>
      </c>
      <c r="H126" t="s">
        <v>423</v>
      </c>
      <c r="I126" t="s">
        <v>71</v>
      </c>
      <c r="J126" t="s">
        <v>449</v>
      </c>
      <c r="L126">
        <v>1.8</v>
      </c>
      <c r="N126" t="s">
        <v>436</v>
      </c>
      <c r="O126" t="s">
        <v>437</v>
      </c>
      <c r="S126" t="s">
        <v>450</v>
      </c>
      <c r="T126" t="s">
        <v>438</v>
      </c>
      <c r="U126" t="s">
        <v>439</v>
      </c>
      <c r="V126" t="s">
        <v>440</v>
      </c>
      <c r="W126" t="s">
        <v>71</v>
      </c>
      <c r="X126" t="s">
        <v>155</v>
      </c>
    </row>
    <row r="127" spans="1:24">
      <c r="A127" t="str">
        <f>Hyperlink("https://www.diodes.com/part/view/DMC4050SSDQ","DMC4050SSDQ")</f>
        <v>DMC4050SSDQ</v>
      </c>
      <c r="B127" t="str">
        <f>Hyperlink("https://www.diodes.com/assets/Datasheets/DMC4050SSDQ.pdf","DMC4050SSDQ Datasheet")</f>
        <v>DMC4050SSDQ Datasheet</v>
      </c>
      <c r="C127" t="s">
        <v>451</v>
      </c>
      <c r="D127" t="s">
        <v>25</v>
      </c>
      <c r="E127" t="s">
        <v>33</v>
      </c>
      <c r="F127" t="s">
        <v>69</v>
      </c>
      <c r="G127" t="s">
        <v>28</v>
      </c>
      <c r="H127" t="s">
        <v>423</v>
      </c>
      <c r="I127" t="s">
        <v>71</v>
      </c>
      <c r="J127" t="s">
        <v>452</v>
      </c>
      <c r="L127">
        <v>1.8</v>
      </c>
      <c r="N127" t="s">
        <v>453</v>
      </c>
      <c r="O127" t="s">
        <v>454</v>
      </c>
      <c r="S127" t="s">
        <v>445</v>
      </c>
      <c r="U127" t="s">
        <v>447</v>
      </c>
      <c r="V127" t="s">
        <v>448</v>
      </c>
      <c r="W127" t="s">
        <v>71</v>
      </c>
      <c r="X127" t="s">
        <v>155</v>
      </c>
    </row>
    <row r="128" spans="1:24">
      <c r="A128" t="str">
        <f>Hyperlink("https://www.diodes.com/part/view/DMC6022SSD","DMC6022SSD")</f>
        <v>DMC6022SSD</v>
      </c>
      <c r="B128" t="str">
        <f>Hyperlink("https://www.diodes.com/assets/Datasheets/DMC6022SSD.pdf","DMC6022SSD Datasheet")</f>
        <v>DMC6022SSD Datasheet</v>
      </c>
      <c r="C128" t="s">
        <v>68</v>
      </c>
      <c r="D128" t="s">
        <v>28</v>
      </c>
      <c r="E128" t="s">
        <v>26</v>
      </c>
      <c r="F128" t="s">
        <v>69</v>
      </c>
      <c r="G128" t="s">
        <v>28</v>
      </c>
      <c r="H128" t="s">
        <v>455</v>
      </c>
      <c r="I128" t="s">
        <v>145</v>
      </c>
      <c r="J128" t="s">
        <v>456</v>
      </c>
      <c r="L128">
        <v>2.0</v>
      </c>
      <c r="N128" t="s">
        <v>147</v>
      </c>
      <c r="O128" t="s">
        <v>457</v>
      </c>
      <c r="R128" t="s">
        <v>149</v>
      </c>
      <c r="S128" t="s">
        <v>150</v>
      </c>
      <c r="T128" t="s">
        <v>458</v>
      </c>
      <c r="U128" t="s">
        <v>459</v>
      </c>
      <c r="V128" t="s">
        <v>460</v>
      </c>
      <c r="W128" t="s">
        <v>461</v>
      </c>
      <c r="X128" t="s">
        <v>155</v>
      </c>
    </row>
    <row r="129" spans="1:24">
      <c r="A129" t="str">
        <f>Hyperlink("https://www.diodes.com/part/view/DMC6040SSD","DMC6040SSD")</f>
        <v>DMC6040SSD</v>
      </c>
      <c r="B129" t="str">
        <f>Hyperlink("https://www.diodes.com/assets/Datasheets/DMC6040SSD.pdf","DMC6040SSD Datasheet")</f>
        <v>DMC6040SSD Datasheet</v>
      </c>
      <c r="C129" t="s">
        <v>68</v>
      </c>
      <c r="D129" t="s">
        <v>25</v>
      </c>
      <c r="E129" t="s">
        <v>26</v>
      </c>
      <c r="F129" t="s">
        <v>69</v>
      </c>
      <c r="G129" t="s">
        <v>28</v>
      </c>
      <c r="H129" t="s">
        <v>454</v>
      </c>
      <c r="I129" t="s">
        <v>71</v>
      </c>
      <c r="J129" t="s">
        <v>462</v>
      </c>
      <c r="L129">
        <v>1.56</v>
      </c>
      <c r="N129" t="s">
        <v>463</v>
      </c>
      <c r="O129" t="s">
        <v>464</v>
      </c>
      <c r="S129" t="s">
        <v>160</v>
      </c>
      <c r="T129" t="s">
        <v>465</v>
      </c>
      <c r="U129" t="s">
        <v>466</v>
      </c>
      <c r="V129" t="s">
        <v>467</v>
      </c>
      <c r="W129" t="s">
        <v>273</v>
      </c>
      <c r="X129" t="s">
        <v>155</v>
      </c>
    </row>
    <row r="130" spans="1:24">
      <c r="A130" t="str">
        <f>Hyperlink("https://www.diodes.com/part/view/DMC6040SSDQ","DMC6040SSDQ")</f>
        <v>DMC6040SSDQ</v>
      </c>
      <c r="B130" t="str">
        <f>Hyperlink("https://www.diodes.com/assets/Datasheets/DMC6040SSDQ.pdf","DMC6040SSDQ Datasheet")</f>
        <v>DMC6040SSDQ Datasheet</v>
      </c>
      <c r="C130" t="s">
        <v>468</v>
      </c>
      <c r="D130" t="s">
        <v>25</v>
      </c>
      <c r="E130" t="s">
        <v>33</v>
      </c>
      <c r="F130" t="s">
        <v>69</v>
      </c>
      <c r="G130" t="s">
        <v>28</v>
      </c>
      <c r="H130" t="s">
        <v>454</v>
      </c>
      <c r="I130" t="s">
        <v>71</v>
      </c>
      <c r="J130" t="s">
        <v>462</v>
      </c>
      <c r="L130">
        <v>1.56</v>
      </c>
      <c r="N130" t="s">
        <v>463</v>
      </c>
      <c r="O130" t="s">
        <v>464</v>
      </c>
      <c r="S130" t="s">
        <v>160</v>
      </c>
      <c r="T130" t="s">
        <v>465</v>
      </c>
      <c r="U130" t="s">
        <v>466</v>
      </c>
      <c r="V130" t="s">
        <v>467</v>
      </c>
      <c r="W130" t="s">
        <v>273</v>
      </c>
      <c r="X130" t="s">
        <v>155</v>
      </c>
    </row>
    <row r="131" spans="1:24">
      <c r="A131" t="str">
        <f>Hyperlink("https://www.diodes.com/part/view/DMC6070LND","DMC6070LND")</f>
        <v>DMC6070LND</v>
      </c>
      <c r="B131" t="str">
        <f>Hyperlink("https://www.diodes.com/assets/Datasheets/DMC6070LND.pdf","DMC6070LND Datasheet")</f>
        <v>DMC6070LND Datasheet</v>
      </c>
      <c r="C131" t="s">
        <v>68</v>
      </c>
      <c r="D131" t="s">
        <v>28</v>
      </c>
      <c r="E131" t="s">
        <v>26</v>
      </c>
      <c r="F131" t="s">
        <v>69</v>
      </c>
      <c r="G131" t="s">
        <v>28</v>
      </c>
      <c r="H131" t="s">
        <v>454</v>
      </c>
      <c r="I131" t="s">
        <v>71</v>
      </c>
      <c r="J131" t="s">
        <v>469</v>
      </c>
      <c r="L131">
        <v>1.4</v>
      </c>
      <c r="N131" t="s">
        <v>470</v>
      </c>
      <c r="O131" t="s">
        <v>471</v>
      </c>
      <c r="S131" t="s">
        <v>160</v>
      </c>
      <c r="T131" t="s">
        <v>472</v>
      </c>
      <c r="U131" t="s">
        <v>473</v>
      </c>
      <c r="V131" t="s">
        <v>474</v>
      </c>
      <c r="W131" t="s">
        <v>71</v>
      </c>
      <c r="X131" t="s">
        <v>296</v>
      </c>
    </row>
    <row r="132" spans="1:24">
      <c r="A132" t="str">
        <f>Hyperlink("https://www.diodes.com/part/view/DMC62D0SVQ","DMC62D0SVQ")</f>
        <v>DMC62D0SVQ</v>
      </c>
      <c r="B132" t="str">
        <f>Hyperlink("https://www.diodes.com/assets/Datasheets/products_inactive_data/DMC62D0SVQ.pdf","DMC62D0SVQ Datasheet")</f>
        <v>DMC62D0SVQ Datasheet</v>
      </c>
      <c r="C132" t="s">
        <v>68</v>
      </c>
      <c r="D132" t="s">
        <v>25</v>
      </c>
      <c r="E132" t="s">
        <v>33</v>
      </c>
      <c r="F132" t="s">
        <v>69</v>
      </c>
      <c r="G132" t="s">
        <v>25</v>
      </c>
      <c r="H132" t="s">
        <v>70</v>
      </c>
      <c r="I132" t="s">
        <v>71</v>
      </c>
      <c r="J132" t="s">
        <v>475</v>
      </c>
      <c r="L132">
        <v>0.84</v>
      </c>
      <c r="N132" t="s">
        <v>476</v>
      </c>
      <c r="O132" t="s">
        <v>477</v>
      </c>
      <c r="R132" t="s">
        <v>121</v>
      </c>
      <c r="S132" t="s">
        <v>377</v>
      </c>
      <c r="T132" t="s">
        <v>120</v>
      </c>
      <c r="V132" t="s">
        <v>478</v>
      </c>
      <c r="W132" t="s">
        <v>97</v>
      </c>
      <c r="X132" t="s">
        <v>43</v>
      </c>
    </row>
    <row r="133" spans="1:24">
      <c r="A133" t="str">
        <f>Hyperlink("https://www.diodes.com/part/view/DMC62D2SV","DMC62D2SV")</f>
        <v>DMC62D2SV</v>
      </c>
      <c r="B133" t="str">
        <f>Hyperlink("https://www.diodes.com/assets/Datasheets/DMC62D2SV.pdf","DMC62D2SV Datasheet")</f>
        <v>DMC62D2SV Datasheet</v>
      </c>
      <c r="C133" t="s">
        <v>231</v>
      </c>
      <c r="D133" t="s">
        <v>28</v>
      </c>
      <c r="E133" t="s">
        <v>26</v>
      </c>
      <c r="F133" t="s">
        <v>69</v>
      </c>
      <c r="G133" t="s">
        <v>25</v>
      </c>
      <c r="H133" t="s">
        <v>455</v>
      </c>
      <c r="I133" t="s">
        <v>145</v>
      </c>
      <c r="J133" t="s">
        <v>479</v>
      </c>
      <c r="L133">
        <v>0.8</v>
      </c>
      <c r="N133" t="s">
        <v>480</v>
      </c>
      <c r="O133" t="s">
        <v>481</v>
      </c>
      <c r="R133" t="s">
        <v>149</v>
      </c>
      <c r="S133" t="s">
        <v>482</v>
      </c>
      <c r="T133" t="s">
        <v>483</v>
      </c>
      <c r="U133" t="s">
        <v>484</v>
      </c>
      <c r="V133" t="s">
        <v>485</v>
      </c>
      <c r="W133" t="s">
        <v>486</v>
      </c>
      <c r="X133" t="s">
        <v>43</v>
      </c>
    </row>
    <row r="134" spans="1:24">
      <c r="A134" t="str">
        <f>Hyperlink("https://www.diodes.com/part/view/DMC62D2SVQ","DMC62D2SVQ")</f>
        <v>DMC62D2SVQ</v>
      </c>
      <c r="B134" t="str">
        <f>Hyperlink("https://www.diodes.com/assets/Datasheets/DMC62D2SVQ.pdf","DMC62D2SVQ Datasheet")</f>
        <v>DMC62D2SVQ Datasheet</v>
      </c>
      <c r="C134" t="s">
        <v>231</v>
      </c>
      <c r="D134" t="s">
        <v>25</v>
      </c>
      <c r="E134" t="s">
        <v>33</v>
      </c>
      <c r="F134" t="s">
        <v>69</v>
      </c>
      <c r="G134" t="s">
        <v>25</v>
      </c>
      <c r="H134" t="s">
        <v>455</v>
      </c>
      <c r="I134" t="s">
        <v>145</v>
      </c>
      <c r="J134" t="s">
        <v>479</v>
      </c>
      <c r="L134">
        <v>0.8</v>
      </c>
      <c r="N134" t="s">
        <v>480</v>
      </c>
      <c r="O134" t="s">
        <v>481</v>
      </c>
      <c r="R134" t="s">
        <v>149</v>
      </c>
      <c r="S134" t="s">
        <v>482</v>
      </c>
      <c r="T134" t="s">
        <v>483</v>
      </c>
      <c r="U134" t="s">
        <v>484</v>
      </c>
      <c r="V134" t="s">
        <v>485</v>
      </c>
      <c r="W134" t="s">
        <v>486</v>
      </c>
      <c r="X134" t="s">
        <v>43</v>
      </c>
    </row>
    <row r="135" spans="1:24">
      <c r="A135" t="str">
        <f>Hyperlink("https://www.diodes.com/part/view/DMC67D8UFDBQ","DMC67D8UFDBQ")</f>
        <v>DMC67D8UFDBQ</v>
      </c>
      <c r="B135" t="str">
        <f>Hyperlink("https://www.diodes.com/assets/Datasheets/DMC67D8UFDBQ.pdf","DMC67D8UFDBQ Datasheet")</f>
        <v>DMC67D8UFDBQ Datasheet</v>
      </c>
      <c r="C135" t="s">
        <v>68</v>
      </c>
      <c r="D135" t="s">
        <v>25</v>
      </c>
      <c r="E135" t="s">
        <v>33</v>
      </c>
      <c r="F135" t="s">
        <v>69</v>
      </c>
      <c r="G135" t="s">
        <v>25</v>
      </c>
      <c r="H135" t="s">
        <v>487</v>
      </c>
      <c r="I135" t="s">
        <v>488</v>
      </c>
      <c r="J135" t="s">
        <v>489</v>
      </c>
      <c r="L135">
        <v>0.89</v>
      </c>
      <c r="N135" t="s">
        <v>490</v>
      </c>
      <c r="O135" t="s">
        <v>491</v>
      </c>
      <c r="S135" t="s">
        <v>492</v>
      </c>
      <c r="T135" t="s">
        <v>493</v>
      </c>
      <c r="V135" t="s">
        <v>494</v>
      </c>
      <c r="W135" t="s">
        <v>495</v>
      </c>
      <c r="X135" t="s">
        <v>125</v>
      </c>
    </row>
    <row r="136" spans="1:24">
      <c r="A136" t="str">
        <f>Hyperlink("https://www.diodes.com/part/view/DMG1012T","DMG1012T")</f>
        <v>DMG1012T</v>
      </c>
      <c r="B136" t="str">
        <f>Hyperlink("https://www.diodes.com/assets/Datasheets/DMG1012T.pdf","DMG1012T Datasheet")</f>
        <v>DMG1012T Datasheet</v>
      </c>
      <c r="C136" t="s">
        <v>496</v>
      </c>
      <c r="D136" t="s">
        <v>25</v>
      </c>
      <c r="E136" t="s">
        <v>26</v>
      </c>
      <c r="F136" t="s">
        <v>27</v>
      </c>
      <c r="G136" t="s">
        <v>25</v>
      </c>
      <c r="H136">
        <v>20</v>
      </c>
      <c r="I136">
        <v>6</v>
      </c>
      <c r="J136">
        <v>0.63</v>
      </c>
      <c r="L136">
        <v>0.28</v>
      </c>
      <c r="O136">
        <v>400</v>
      </c>
      <c r="P136">
        <v>500</v>
      </c>
      <c r="Q136">
        <v>700</v>
      </c>
      <c r="R136">
        <v>0.5</v>
      </c>
      <c r="S136">
        <v>1</v>
      </c>
      <c r="T136">
        <v>0.74</v>
      </c>
      <c r="V136">
        <v>61</v>
      </c>
      <c r="X136" t="s">
        <v>41</v>
      </c>
    </row>
    <row r="137" spans="1:24">
      <c r="A137" t="str">
        <f>Hyperlink("https://www.diodes.com/part/view/DMG1012UW","DMG1012UW")</f>
        <v>DMG1012UW</v>
      </c>
      <c r="B137" t="str">
        <f>Hyperlink("https://www.diodes.com/assets/Datasheets/DMG1012UW.pdf","DMG1012UW Datasheet")</f>
        <v>DMG1012UW Datasheet</v>
      </c>
      <c r="C137" t="s">
        <v>496</v>
      </c>
      <c r="D137" t="s">
        <v>25</v>
      </c>
      <c r="E137" t="s">
        <v>26</v>
      </c>
      <c r="F137" t="s">
        <v>27</v>
      </c>
      <c r="G137" t="s">
        <v>25</v>
      </c>
      <c r="H137">
        <v>20</v>
      </c>
      <c r="I137">
        <v>6</v>
      </c>
      <c r="J137">
        <v>1</v>
      </c>
      <c r="L137">
        <v>0.29</v>
      </c>
      <c r="O137">
        <v>450</v>
      </c>
      <c r="P137">
        <v>600</v>
      </c>
      <c r="Q137">
        <v>750</v>
      </c>
      <c r="R137">
        <v>0.5</v>
      </c>
      <c r="S137">
        <v>1</v>
      </c>
      <c r="T137">
        <v>0.74</v>
      </c>
      <c r="V137">
        <v>61</v>
      </c>
      <c r="X137" t="s">
        <v>60</v>
      </c>
    </row>
    <row r="138" spans="1:24">
      <c r="A138" t="str">
        <f>Hyperlink("https://www.diodes.com/part/view/DMG1012UWQ","DMG1012UWQ")</f>
        <v>DMG1012UWQ</v>
      </c>
      <c r="B138" t="str">
        <f>Hyperlink("https://www.diodes.com/assets/Datasheets/DMG1012UWQ.pdf","DMG1012UWQ Datasheet")</f>
        <v>DMG1012UWQ Datasheet</v>
      </c>
      <c r="C138" t="s">
        <v>24</v>
      </c>
      <c r="D138" t="s">
        <v>25</v>
      </c>
      <c r="E138" t="s">
        <v>33</v>
      </c>
      <c r="F138" t="s">
        <v>27</v>
      </c>
      <c r="G138" t="s">
        <v>25</v>
      </c>
      <c r="H138">
        <v>20</v>
      </c>
      <c r="I138">
        <v>6</v>
      </c>
      <c r="J138">
        <v>0.95</v>
      </c>
      <c r="L138">
        <v>0.29</v>
      </c>
      <c r="O138">
        <v>450</v>
      </c>
      <c r="P138">
        <v>600</v>
      </c>
      <c r="Q138">
        <v>750</v>
      </c>
      <c r="R138">
        <v>0.5</v>
      </c>
      <c r="S138">
        <v>1</v>
      </c>
      <c r="T138">
        <v>0.7</v>
      </c>
      <c r="V138">
        <v>60.6</v>
      </c>
      <c r="W138">
        <v>16</v>
      </c>
      <c r="X138" t="s">
        <v>60</v>
      </c>
    </row>
    <row r="139" spans="1:24">
      <c r="A139" t="str">
        <f>Hyperlink("https://www.diodes.com/part/view/DMG1013T","DMG1013T")</f>
        <v>DMG1013T</v>
      </c>
      <c r="B139" t="str">
        <f>Hyperlink("https://www.diodes.com/assets/Datasheets/ds31784.pdf","DMG1013T Datasheet")</f>
        <v>DMG1013T Datasheet</v>
      </c>
      <c r="C139" t="s">
        <v>51</v>
      </c>
      <c r="D139" t="s">
        <v>25</v>
      </c>
      <c r="E139" t="s">
        <v>26</v>
      </c>
      <c r="F139" t="s">
        <v>52</v>
      </c>
      <c r="G139" t="s">
        <v>25</v>
      </c>
      <c r="H139">
        <v>20</v>
      </c>
      <c r="I139">
        <v>6</v>
      </c>
      <c r="J139">
        <v>0.46</v>
      </c>
      <c r="L139">
        <v>0.27</v>
      </c>
      <c r="O139">
        <v>700</v>
      </c>
      <c r="P139">
        <v>900</v>
      </c>
      <c r="Q139">
        <v>1300</v>
      </c>
      <c r="R139">
        <v>0.5</v>
      </c>
      <c r="S139">
        <v>1</v>
      </c>
      <c r="T139">
        <v>0.58</v>
      </c>
      <c r="V139">
        <v>59.76</v>
      </c>
      <c r="W139">
        <v>16</v>
      </c>
      <c r="X139" t="s">
        <v>41</v>
      </c>
    </row>
    <row r="140" spans="1:24">
      <c r="A140" t="str">
        <f>Hyperlink("https://www.diodes.com/part/view/DMG1013TQ","DMG1013TQ")</f>
        <v>DMG1013TQ</v>
      </c>
      <c r="B140" t="str">
        <f>Hyperlink("https://www.diodes.com/assets/Datasheets/DMG1013TQ.pdf","DMG1013TQ Datasheet")</f>
        <v>DMG1013TQ Datasheet</v>
      </c>
      <c r="C140" t="s">
        <v>497</v>
      </c>
      <c r="D140" t="s">
        <v>25</v>
      </c>
      <c r="E140" t="s">
        <v>33</v>
      </c>
      <c r="F140" t="s">
        <v>52</v>
      </c>
      <c r="G140" t="s">
        <v>25</v>
      </c>
      <c r="H140">
        <v>20</v>
      </c>
      <c r="I140">
        <v>6</v>
      </c>
      <c r="J140">
        <v>0.46</v>
      </c>
      <c r="L140">
        <v>0.27</v>
      </c>
      <c r="O140">
        <v>700</v>
      </c>
      <c r="P140">
        <v>900</v>
      </c>
      <c r="Q140">
        <v>1300</v>
      </c>
      <c r="R140">
        <v>0.5</v>
      </c>
      <c r="S140">
        <v>1</v>
      </c>
      <c r="T140">
        <v>0.58</v>
      </c>
      <c r="V140">
        <v>59.76</v>
      </c>
      <c r="W140">
        <v>16</v>
      </c>
      <c r="X140" t="s">
        <v>41</v>
      </c>
    </row>
    <row r="141" spans="1:24">
      <c r="A141" t="str">
        <f>Hyperlink("https://www.diodes.com/part/view/DMG1013UW","DMG1013UW")</f>
        <v>DMG1013UW</v>
      </c>
      <c r="B141" t="str">
        <f>Hyperlink("https://www.diodes.com/assets/Datasheets/ds31861.pdf","DMG1013UW Datasheet")</f>
        <v>DMG1013UW Datasheet</v>
      </c>
      <c r="C141" t="s">
        <v>51</v>
      </c>
      <c r="D141" t="s">
        <v>25</v>
      </c>
      <c r="E141" t="s">
        <v>26</v>
      </c>
      <c r="F141" t="s">
        <v>52</v>
      </c>
      <c r="G141" t="s">
        <v>25</v>
      </c>
      <c r="H141">
        <v>20</v>
      </c>
      <c r="I141">
        <v>6</v>
      </c>
      <c r="J141">
        <v>0.82</v>
      </c>
      <c r="L141">
        <v>0.31</v>
      </c>
      <c r="O141">
        <v>750</v>
      </c>
      <c r="P141">
        <v>1050</v>
      </c>
      <c r="Q141">
        <v>1500</v>
      </c>
      <c r="R141">
        <v>0.5</v>
      </c>
      <c r="S141">
        <v>1</v>
      </c>
      <c r="T141">
        <v>0.622</v>
      </c>
      <c r="V141">
        <v>59.76</v>
      </c>
      <c r="W141">
        <v>16</v>
      </c>
      <c r="X141" t="s">
        <v>60</v>
      </c>
    </row>
    <row r="142" spans="1:24">
      <c r="A142" t="str">
        <f>Hyperlink("https://www.diodes.com/part/view/DMG1013UWQ","DMG1013UWQ")</f>
        <v>DMG1013UWQ</v>
      </c>
      <c r="B142" t="str">
        <f>Hyperlink("https://www.diodes.com/assets/Datasheets/DMG1013UWQ.pdf","DMG1013UWQ Datasheet")</f>
        <v>DMG1013UWQ Datasheet</v>
      </c>
      <c r="C142" t="s">
        <v>497</v>
      </c>
      <c r="D142" t="s">
        <v>25</v>
      </c>
      <c r="E142" t="s">
        <v>33</v>
      </c>
      <c r="F142" t="s">
        <v>52</v>
      </c>
      <c r="G142" t="s">
        <v>25</v>
      </c>
      <c r="H142">
        <v>20</v>
      </c>
      <c r="I142">
        <v>6</v>
      </c>
      <c r="J142">
        <v>0.82</v>
      </c>
      <c r="L142">
        <v>0.31</v>
      </c>
      <c r="O142">
        <v>750</v>
      </c>
      <c r="P142">
        <v>1050</v>
      </c>
      <c r="Q142">
        <v>1500</v>
      </c>
      <c r="S142">
        <v>1</v>
      </c>
      <c r="T142">
        <v>0.622</v>
      </c>
      <c r="V142">
        <v>59.76</v>
      </c>
      <c r="W142">
        <v>16</v>
      </c>
      <c r="X142" t="s">
        <v>60</v>
      </c>
    </row>
    <row r="143" spans="1:24">
      <c r="A143" t="str">
        <f>Hyperlink("https://www.diodes.com/part/view/DMG1016UDW","DMG1016UDW")</f>
        <v>DMG1016UDW</v>
      </c>
      <c r="B143" t="str">
        <f>Hyperlink("https://www.diodes.com/assets/Datasheets/DMG1016UDW.pdf","DMG1016UDW Datasheet")</f>
        <v>DMG1016UDW Datasheet</v>
      </c>
      <c r="C143" t="s">
        <v>68</v>
      </c>
      <c r="D143" t="s">
        <v>25</v>
      </c>
      <c r="E143" t="s">
        <v>26</v>
      </c>
      <c r="F143" t="s">
        <v>69</v>
      </c>
      <c r="G143" t="s">
        <v>25</v>
      </c>
      <c r="H143" t="s">
        <v>71</v>
      </c>
      <c r="I143" t="s">
        <v>111</v>
      </c>
      <c r="J143" t="s">
        <v>498</v>
      </c>
      <c r="L143">
        <v>0.33</v>
      </c>
      <c r="O143" t="s">
        <v>262</v>
      </c>
      <c r="P143" t="s">
        <v>263</v>
      </c>
      <c r="Q143" t="s">
        <v>264</v>
      </c>
      <c r="R143" t="s">
        <v>169</v>
      </c>
      <c r="S143" t="s">
        <v>121</v>
      </c>
      <c r="T143" t="s">
        <v>259</v>
      </c>
      <c r="V143" t="s">
        <v>260</v>
      </c>
      <c r="W143" t="s">
        <v>499</v>
      </c>
      <c r="X143" t="s">
        <v>37</v>
      </c>
    </row>
    <row r="144" spans="1:24">
      <c r="A144" t="str">
        <f>Hyperlink("https://www.diodes.com/part/view/DMG1016V","DMG1016V")</f>
        <v>DMG1016V</v>
      </c>
      <c r="B144" t="str">
        <f>Hyperlink("https://www.diodes.com/assets/Datasheets/DMG1016V.pdf","DMG1016V Datasheet")</f>
        <v>DMG1016V Datasheet</v>
      </c>
      <c r="C144" t="s">
        <v>68</v>
      </c>
      <c r="D144" t="s">
        <v>25</v>
      </c>
      <c r="E144" t="s">
        <v>26</v>
      </c>
      <c r="F144" t="s">
        <v>69</v>
      </c>
      <c r="G144" t="s">
        <v>25</v>
      </c>
      <c r="H144" t="s">
        <v>71</v>
      </c>
      <c r="I144" t="s">
        <v>111</v>
      </c>
      <c r="J144" t="s">
        <v>500</v>
      </c>
      <c r="L144">
        <v>0.53</v>
      </c>
      <c r="O144" t="s">
        <v>256</v>
      </c>
      <c r="P144" t="s">
        <v>257</v>
      </c>
      <c r="Q144" t="s">
        <v>258</v>
      </c>
      <c r="R144" t="s">
        <v>169</v>
      </c>
      <c r="S144" t="s">
        <v>121</v>
      </c>
      <c r="T144" t="s">
        <v>259</v>
      </c>
      <c r="V144" t="s">
        <v>260</v>
      </c>
      <c r="W144" t="s">
        <v>171</v>
      </c>
      <c r="X144" t="s">
        <v>43</v>
      </c>
    </row>
    <row r="145" spans="1:24">
      <c r="A145" t="str">
        <f>Hyperlink("https://www.diodes.com/part/view/DMG1023UV","DMG1023UV")</f>
        <v>DMG1023UV</v>
      </c>
      <c r="B145" t="str">
        <f>Hyperlink("https://www.diodes.com/assets/Datasheets/ds31975.pdf","DMG1023UV Datasheet")</f>
        <v>DMG1023UV Datasheet</v>
      </c>
      <c r="C145" t="s">
        <v>77</v>
      </c>
      <c r="D145" t="s">
        <v>25</v>
      </c>
      <c r="E145" t="s">
        <v>26</v>
      </c>
      <c r="F145" t="s">
        <v>78</v>
      </c>
      <c r="G145" t="s">
        <v>25</v>
      </c>
      <c r="H145">
        <v>20</v>
      </c>
      <c r="I145">
        <v>6</v>
      </c>
      <c r="J145">
        <v>1.03</v>
      </c>
      <c r="L145">
        <v>0.53</v>
      </c>
      <c r="O145">
        <v>750</v>
      </c>
      <c r="P145">
        <v>1050</v>
      </c>
      <c r="Q145">
        <v>1500</v>
      </c>
      <c r="R145">
        <v>0.5</v>
      </c>
      <c r="S145">
        <v>1</v>
      </c>
      <c r="T145">
        <v>0.62</v>
      </c>
      <c r="V145">
        <v>62</v>
      </c>
      <c r="X145" t="s">
        <v>43</v>
      </c>
    </row>
    <row r="146" spans="1:24">
      <c r="A146" t="str">
        <f>Hyperlink("https://www.diodes.com/part/view/DMG1023UVQ","DMG1023UVQ")</f>
        <v>DMG1023UVQ</v>
      </c>
      <c r="B146" t="str">
        <f>Hyperlink("https://www.diodes.com/assets/Datasheets/DMG1023UVQ.pdf","DMG1023UVQ Datasheet")</f>
        <v>DMG1023UVQ Datasheet</v>
      </c>
      <c r="C146" t="s">
        <v>80</v>
      </c>
      <c r="D146" t="s">
        <v>25</v>
      </c>
      <c r="E146" t="s">
        <v>33</v>
      </c>
      <c r="F146" t="s">
        <v>78</v>
      </c>
      <c r="G146" t="s">
        <v>25</v>
      </c>
      <c r="H146">
        <v>20</v>
      </c>
      <c r="I146">
        <v>6</v>
      </c>
      <c r="J146">
        <v>1.03</v>
      </c>
      <c r="L146">
        <v>0.53</v>
      </c>
      <c r="O146">
        <v>750</v>
      </c>
      <c r="P146">
        <v>1050</v>
      </c>
      <c r="Q146">
        <v>1500</v>
      </c>
      <c r="R146">
        <v>0.5</v>
      </c>
      <c r="S146">
        <v>1</v>
      </c>
      <c r="T146">
        <v>0.62</v>
      </c>
      <c r="V146">
        <v>59</v>
      </c>
      <c r="W146">
        <v>16</v>
      </c>
      <c r="X146" t="s">
        <v>43</v>
      </c>
    </row>
    <row r="147" spans="1:24">
      <c r="A147" t="str">
        <f>Hyperlink("https://www.diodes.com/part/view/DMG1024UV","DMG1024UV")</f>
        <v>DMG1024UV</v>
      </c>
      <c r="B147" t="str">
        <f>Hyperlink("https://www.diodes.com/assets/Datasheets/ds31974.pdf","DMG1024UV Datasheet")</f>
        <v>DMG1024UV Datasheet</v>
      </c>
      <c r="C147" t="s">
        <v>496</v>
      </c>
      <c r="D147" t="s">
        <v>25</v>
      </c>
      <c r="E147" t="s">
        <v>26</v>
      </c>
      <c r="F147" t="s">
        <v>35</v>
      </c>
      <c r="G147" t="s">
        <v>25</v>
      </c>
      <c r="H147">
        <v>20</v>
      </c>
      <c r="I147">
        <v>6</v>
      </c>
      <c r="J147">
        <v>1.4</v>
      </c>
      <c r="L147">
        <v>0.53</v>
      </c>
      <c r="O147">
        <v>450</v>
      </c>
      <c r="P147">
        <v>600</v>
      </c>
      <c r="Q147">
        <v>750</v>
      </c>
      <c r="R147">
        <v>0.5</v>
      </c>
      <c r="S147">
        <v>1</v>
      </c>
      <c r="T147">
        <v>0.74</v>
      </c>
      <c r="V147">
        <v>61</v>
      </c>
      <c r="X147" t="s">
        <v>43</v>
      </c>
    </row>
    <row r="148" spans="1:24">
      <c r="A148" t="str">
        <f>Hyperlink("https://www.diodes.com/part/view/DMG1026UVQ","DMG1026UVQ")</f>
        <v>DMG1026UVQ</v>
      </c>
      <c r="B148" t="str">
        <f>Hyperlink("https://www.diodes.com/assets/Datasheets/DMG1026UVQ.pdf","DMG1026UVQ Datasheet")</f>
        <v>DMG1026UVQ Datasheet</v>
      </c>
      <c r="C148" t="s">
        <v>34</v>
      </c>
      <c r="D148" t="s">
        <v>25</v>
      </c>
      <c r="E148" t="s">
        <v>33</v>
      </c>
      <c r="F148" t="s">
        <v>35</v>
      </c>
      <c r="G148" t="s">
        <v>25</v>
      </c>
      <c r="H148">
        <v>60</v>
      </c>
      <c r="I148">
        <v>20</v>
      </c>
      <c r="J148">
        <v>0.41</v>
      </c>
      <c r="L148">
        <v>0.65</v>
      </c>
      <c r="N148">
        <v>1800</v>
      </c>
      <c r="O148">
        <v>2100</v>
      </c>
      <c r="S148">
        <v>1.8</v>
      </c>
      <c r="T148">
        <v>0.45</v>
      </c>
      <c r="X148" t="s">
        <v>43</v>
      </c>
    </row>
    <row r="149" spans="1:24">
      <c r="A149" t="str">
        <f>Hyperlink("https://www.diodes.com/part/view/DMG1029SVQ","DMG1029SVQ")</f>
        <v>DMG1029SVQ</v>
      </c>
      <c r="B149" t="str">
        <f>Hyperlink("https://www.diodes.com/assets/Datasheets/DMG1029SVQ.pdf","DMG1029SVQ Datasheet")</f>
        <v>DMG1029SVQ Datasheet</v>
      </c>
      <c r="C149" t="s">
        <v>68</v>
      </c>
      <c r="D149" t="s">
        <v>25</v>
      </c>
      <c r="E149" t="s">
        <v>33</v>
      </c>
      <c r="F149" t="s">
        <v>69</v>
      </c>
      <c r="G149" t="s">
        <v>28</v>
      </c>
      <c r="H149" t="s">
        <v>454</v>
      </c>
      <c r="I149" t="s">
        <v>71</v>
      </c>
      <c r="J149" t="s">
        <v>280</v>
      </c>
      <c r="L149">
        <v>0.45</v>
      </c>
      <c r="N149" t="s">
        <v>480</v>
      </c>
      <c r="O149" t="s">
        <v>481</v>
      </c>
      <c r="S149" t="s">
        <v>501</v>
      </c>
      <c r="T149" t="s">
        <v>502</v>
      </c>
      <c r="V149" t="s">
        <v>486</v>
      </c>
      <c r="W149" t="s">
        <v>331</v>
      </c>
      <c r="X149" t="s">
        <v>43</v>
      </c>
    </row>
    <row r="150" spans="1:24">
      <c r="A150" t="str">
        <f>Hyperlink("https://www.diodes.com/part/view/DMG2301L","DMG2301L")</f>
        <v>DMG2301L</v>
      </c>
      <c r="B150" t="str">
        <f>Hyperlink("https://www.diodes.com/assets/Datasheets/DMG2301L.pdf","DMG2301L Datasheet")</f>
        <v>DMG2301L Datasheet</v>
      </c>
      <c r="C150" t="s">
        <v>51</v>
      </c>
      <c r="D150" t="s">
        <v>28</v>
      </c>
      <c r="E150" t="s">
        <v>26</v>
      </c>
      <c r="F150" t="s">
        <v>52</v>
      </c>
      <c r="G150" t="s">
        <v>28</v>
      </c>
      <c r="H150">
        <v>20</v>
      </c>
      <c r="I150">
        <v>8</v>
      </c>
      <c r="J150">
        <v>3</v>
      </c>
      <c r="L150">
        <v>1.5</v>
      </c>
      <c r="O150">
        <v>120</v>
      </c>
      <c r="P150">
        <v>150</v>
      </c>
      <c r="S150">
        <v>1.2</v>
      </c>
      <c r="T150">
        <v>5.5</v>
      </c>
      <c r="V150">
        <v>476</v>
      </c>
      <c r="W150">
        <v>10</v>
      </c>
      <c r="X150" t="s">
        <v>32</v>
      </c>
    </row>
    <row r="151" spans="1:24">
      <c r="A151" t="str">
        <f>Hyperlink("https://www.diodes.com/part/view/DMG2301LK","DMG2301LK")</f>
        <v>DMG2301LK</v>
      </c>
      <c r="B151" t="str">
        <f>Hyperlink("https://www.diodes.com/assets/Datasheets/DMG2301LK.pdf","DMG2301LK Datasheet")</f>
        <v>DMG2301LK Datasheet</v>
      </c>
      <c r="C151" t="s">
        <v>51</v>
      </c>
      <c r="D151" t="s">
        <v>25</v>
      </c>
      <c r="E151" t="s">
        <v>26</v>
      </c>
      <c r="F151" t="s">
        <v>52</v>
      </c>
      <c r="G151" t="s">
        <v>25</v>
      </c>
      <c r="H151">
        <v>20</v>
      </c>
      <c r="I151">
        <v>12</v>
      </c>
      <c r="J151">
        <v>2.4</v>
      </c>
      <c r="L151">
        <v>1.4</v>
      </c>
      <c r="O151">
        <v>160</v>
      </c>
      <c r="P151">
        <v>210</v>
      </c>
      <c r="Q151">
        <v>298</v>
      </c>
      <c r="R151">
        <v>0.3</v>
      </c>
      <c r="S151">
        <v>1</v>
      </c>
      <c r="T151">
        <v>1.6</v>
      </c>
      <c r="U151">
        <v>3.4</v>
      </c>
      <c r="V151">
        <v>156</v>
      </c>
      <c r="W151">
        <v>6</v>
      </c>
      <c r="X151" t="s">
        <v>32</v>
      </c>
    </row>
    <row r="152" spans="1:24">
      <c r="A152" t="str">
        <f>Hyperlink("https://www.diodes.com/part/view/DMG2301U","DMG2301U")</f>
        <v>DMG2301U</v>
      </c>
      <c r="B152" t="str">
        <f>Hyperlink("https://www.diodes.com/assets/Datasheets/ds31848.pdf","DMG2301U Datasheet")</f>
        <v>DMG2301U Datasheet</v>
      </c>
      <c r="C152" t="s">
        <v>51</v>
      </c>
      <c r="D152" t="s">
        <v>25</v>
      </c>
      <c r="E152" t="s">
        <v>26</v>
      </c>
      <c r="F152" t="s">
        <v>52</v>
      </c>
      <c r="G152" t="s">
        <v>28</v>
      </c>
      <c r="H152">
        <v>20</v>
      </c>
      <c r="I152">
        <v>8</v>
      </c>
      <c r="J152">
        <v>2.7</v>
      </c>
      <c r="L152">
        <v>0.8</v>
      </c>
      <c r="O152">
        <v>80</v>
      </c>
      <c r="P152">
        <v>110</v>
      </c>
      <c r="R152">
        <v>0.45</v>
      </c>
      <c r="S152">
        <v>1</v>
      </c>
      <c r="T152">
        <v>6.5</v>
      </c>
      <c r="V152">
        <v>600</v>
      </c>
      <c r="X152" t="s">
        <v>32</v>
      </c>
    </row>
    <row r="153" spans="1:24">
      <c r="A153" t="str">
        <f>Hyperlink("https://www.diodes.com/part/view/DMG2302UK","DMG2302UK")</f>
        <v>DMG2302UK</v>
      </c>
      <c r="B153" t="str">
        <f>Hyperlink("https://www.diodes.com/assets/Datasheets/DMG2302UK.pdf","DMG2302UK Datasheet")</f>
        <v>DMG2302UK Datasheet</v>
      </c>
      <c r="C153" t="s">
        <v>24</v>
      </c>
      <c r="D153" t="s">
        <v>25</v>
      </c>
      <c r="E153" t="s">
        <v>26</v>
      </c>
      <c r="F153" t="s">
        <v>27</v>
      </c>
      <c r="G153" t="s">
        <v>25</v>
      </c>
      <c r="H153">
        <v>20</v>
      </c>
      <c r="I153">
        <v>12</v>
      </c>
      <c r="J153">
        <v>2.8</v>
      </c>
      <c r="L153">
        <v>1.1</v>
      </c>
      <c r="O153">
        <v>90</v>
      </c>
      <c r="P153">
        <v>120</v>
      </c>
      <c r="R153">
        <v>0.3</v>
      </c>
      <c r="S153">
        <v>1</v>
      </c>
      <c r="T153">
        <v>1.4</v>
      </c>
      <c r="U153">
        <v>2.8</v>
      </c>
      <c r="V153">
        <v>130</v>
      </c>
      <c r="W153">
        <v>10</v>
      </c>
      <c r="X153" t="s">
        <v>32</v>
      </c>
    </row>
    <row r="154" spans="1:24">
      <c r="A154" t="str">
        <f>Hyperlink("https://www.diodes.com/part/view/DMG2302UKQ","DMG2302UKQ")</f>
        <v>DMG2302UKQ</v>
      </c>
      <c r="B154" t="str">
        <f>Hyperlink("https://www.diodes.com/assets/Datasheets/DMG2302UKQ.pdf","DMG2302UKQ Datasheet")</f>
        <v>DMG2302UKQ Datasheet</v>
      </c>
      <c r="C154" t="s">
        <v>24</v>
      </c>
      <c r="D154" t="s">
        <v>25</v>
      </c>
      <c r="E154" t="s">
        <v>33</v>
      </c>
      <c r="F154" t="s">
        <v>27</v>
      </c>
      <c r="G154" t="s">
        <v>25</v>
      </c>
      <c r="H154">
        <v>20</v>
      </c>
      <c r="I154">
        <v>12</v>
      </c>
      <c r="J154">
        <v>2.8</v>
      </c>
      <c r="L154">
        <v>1.1</v>
      </c>
      <c r="O154">
        <v>90</v>
      </c>
      <c r="P154">
        <v>120</v>
      </c>
      <c r="S154">
        <v>1</v>
      </c>
      <c r="T154">
        <v>1.4</v>
      </c>
      <c r="U154">
        <v>2.8</v>
      </c>
      <c r="V154">
        <v>130</v>
      </c>
      <c r="W154">
        <v>10</v>
      </c>
      <c r="X154" t="s">
        <v>32</v>
      </c>
    </row>
    <row r="155" spans="1:24">
      <c r="A155" t="str">
        <f>Hyperlink("https://www.diodes.com/part/view/DMG2305UX","DMG2305UX")</f>
        <v>DMG2305UX</v>
      </c>
      <c r="B155" t="str">
        <f>Hyperlink("https://www.diodes.com/assets/Datasheets/DMG2305UX.pdf","DMG2305UX Datasheet")</f>
        <v>DMG2305UX Datasheet</v>
      </c>
      <c r="C155" t="s">
        <v>51</v>
      </c>
      <c r="D155" t="s">
        <v>25</v>
      </c>
      <c r="E155" t="s">
        <v>26</v>
      </c>
      <c r="F155" t="s">
        <v>52</v>
      </c>
      <c r="G155" t="s">
        <v>28</v>
      </c>
      <c r="H155">
        <v>20</v>
      </c>
      <c r="I155">
        <v>8</v>
      </c>
      <c r="J155">
        <v>5</v>
      </c>
      <c r="L155">
        <v>1.4</v>
      </c>
      <c r="O155">
        <v>52</v>
      </c>
      <c r="P155">
        <v>100</v>
      </c>
      <c r="Q155">
        <v>200</v>
      </c>
      <c r="R155">
        <v>0.5</v>
      </c>
      <c r="S155">
        <v>0.9</v>
      </c>
      <c r="T155">
        <v>10.2</v>
      </c>
      <c r="V155">
        <v>820</v>
      </c>
      <c r="W155">
        <v>15</v>
      </c>
      <c r="X155" t="s">
        <v>32</v>
      </c>
    </row>
    <row r="156" spans="1:24">
      <c r="A156" t="str">
        <f>Hyperlink("https://www.diodes.com/part/view/DMG2305UXQ","DMG2305UXQ")</f>
        <v>DMG2305UXQ</v>
      </c>
      <c r="B156" t="str">
        <f>Hyperlink("https://www.diodes.com/assets/Datasheets/DMG2305UXQ.pdf","DMG2305UXQ Datasheet")</f>
        <v>DMG2305UXQ Datasheet</v>
      </c>
      <c r="C156" t="s">
        <v>51</v>
      </c>
      <c r="D156" t="s">
        <v>25</v>
      </c>
      <c r="E156" t="s">
        <v>33</v>
      </c>
      <c r="F156" t="s">
        <v>52</v>
      </c>
      <c r="G156" t="s">
        <v>28</v>
      </c>
      <c r="H156">
        <v>20</v>
      </c>
      <c r="I156">
        <v>8</v>
      </c>
      <c r="J156">
        <v>5</v>
      </c>
      <c r="L156">
        <v>1.4</v>
      </c>
      <c r="O156">
        <v>52</v>
      </c>
      <c r="P156">
        <v>100</v>
      </c>
      <c r="Q156">
        <v>200</v>
      </c>
      <c r="R156">
        <v>0.5</v>
      </c>
      <c r="S156">
        <v>0.9</v>
      </c>
      <c r="T156">
        <v>10.2</v>
      </c>
      <c r="V156">
        <v>808</v>
      </c>
      <c r="W156">
        <v>15</v>
      </c>
      <c r="X156" t="s">
        <v>32</v>
      </c>
    </row>
    <row r="157" spans="1:24">
      <c r="A157" t="str">
        <f>Hyperlink("https://www.diodes.com/part/view/DMG301NU","DMG301NU")</f>
        <v>DMG301NU</v>
      </c>
      <c r="B157" t="str">
        <f>Hyperlink("https://www.diodes.com/assets/Datasheets/DMG301NU.pdf","DMG301NU Datasheet")</f>
        <v>DMG301NU Datasheet</v>
      </c>
      <c r="C157" t="s">
        <v>496</v>
      </c>
      <c r="D157" t="s">
        <v>25</v>
      </c>
      <c r="E157" t="s">
        <v>26</v>
      </c>
      <c r="F157" t="s">
        <v>27</v>
      </c>
      <c r="G157" t="s">
        <v>25</v>
      </c>
      <c r="H157">
        <v>25</v>
      </c>
      <c r="I157">
        <v>8</v>
      </c>
      <c r="J157">
        <v>0.26</v>
      </c>
      <c r="L157">
        <v>0.4</v>
      </c>
      <c r="O157">
        <v>4000</v>
      </c>
      <c r="P157">
        <v>5000</v>
      </c>
      <c r="R157">
        <v>0.7</v>
      </c>
      <c r="S157">
        <v>1.1</v>
      </c>
      <c r="T157">
        <v>0.36</v>
      </c>
      <c r="V157">
        <v>27.9</v>
      </c>
      <c r="X157" t="s">
        <v>32</v>
      </c>
    </row>
    <row r="158" spans="1:24">
      <c r="A158" t="str">
        <f>Hyperlink("https://www.diodes.com/part/view/DMG302PU","DMG302PU")</f>
        <v>DMG302PU</v>
      </c>
      <c r="B158" t="str">
        <f>Hyperlink("https://www.diodes.com/assets/Datasheets/DMG302PU.pdf","DMG302PU Datasheet")</f>
        <v>DMG302PU Datasheet</v>
      </c>
      <c r="C158" t="s">
        <v>51</v>
      </c>
      <c r="D158" t="s">
        <v>25</v>
      </c>
      <c r="E158" t="s">
        <v>26</v>
      </c>
      <c r="F158" t="s">
        <v>52</v>
      </c>
      <c r="G158" t="s">
        <v>25</v>
      </c>
      <c r="H158">
        <v>25</v>
      </c>
      <c r="I158">
        <v>8</v>
      </c>
      <c r="J158">
        <v>0.17</v>
      </c>
      <c r="L158">
        <v>0.45</v>
      </c>
      <c r="O158">
        <v>10000</v>
      </c>
      <c r="P158">
        <v>13000</v>
      </c>
      <c r="R158">
        <v>0.65</v>
      </c>
      <c r="S158">
        <v>1.5</v>
      </c>
      <c r="T158">
        <v>0.35</v>
      </c>
      <c r="V158">
        <v>27.2</v>
      </c>
      <c r="W158">
        <v>10</v>
      </c>
      <c r="X158" t="s">
        <v>32</v>
      </c>
    </row>
    <row r="159" spans="1:24">
      <c r="A159" t="str">
        <f>Hyperlink("https://www.diodes.com/part/view/DMG3401LSN","DMG3401LSN")</f>
        <v>DMG3401LSN</v>
      </c>
      <c r="B159" t="str">
        <f>Hyperlink("https://www.diodes.com/assets/Datasheets/DMG3401LSN.pdf","DMG3401LSN Datasheet")</f>
        <v>DMG3401LSN Datasheet</v>
      </c>
      <c r="C159" t="s">
        <v>503</v>
      </c>
      <c r="D159" t="s">
        <v>25</v>
      </c>
      <c r="E159" t="s">
        <v>26</v>
      </c>
      <c r="F159" t="s">
        <v>52</v>
      </c>
      <c r="G159" t="s">
        <v>28</v>
      </c>
      <c r="H159">
        <v>30</v>
      </c>
      <c r="I159">
        <v>12</v>
      </c>
      <c r="J159">
        <v>3.7</v>
      </c>
      <c r="L159">
        <v>1.2</v>
      </c>
      <c r="N159">
        <v>50</v>
      </c>
      <c r="O159">
        <v>60</v>
      </c>
      <c r="P159">
        <v>85</v>
      </c>
      <c r="S159">
        <v>1.3</v>
      </c>
      <c r="T159">
        <v>11.6</v>
      </c>
      <c r="U159">
        <v>25.1</v>
      </c>
      <c r="V159">
        <v>1326</v>
      </c>
      <c r="X159" t="s">
        <v>63</v>
      </c>
    </row>
    <row r="160" spans="1:24">
      <c r="A160" t="str">
        <f>Hyperlink("https://www.diodes.com/part/view/DMG3401LSNQ","DMG3401LSNQ")</f>
        <v>DMG3401LSNQ</v>
      </c>
      <c r="B160" t="str">
        <f>Hyperlink("https://www.diodes.com/assets/Datasheets/DMG3401LSNQ.pdf","DMG3401LSNQ Datasheet")</f>
        <v>DMG3401LSNQ Datasheet</v>
      </c>
      <c r="C160" t="s">
        <v>503</v>
      </c>
      <c r="D160" t="s">
        <v>25</v>
      </c>
      <c r="E160" t="s">
        <v>33</v>
      </c>
      <c r="F160" t="s">
        <v>52</v>
      </c>
      <c r="G160" t="s">
        <v>28</v>
      </c>
      <c r="H160">
        <v>30</v>
      </c>
      <c r="I160">
        <v>12</v>
      </c>
      <c r="J160">
        <v>3.7</v>
      </c>
      <c r="L160">
        <v>1.2</v>
      </c>
      <c r="N160">
        <v>50</v>
      </c>
      <c r="O160">
        <v>60</v>
      </c>
      <c r="P160">
        <v>85</v>
      </c>
      <c r="S160">
        <v>1.3</v>
      </c>
      <c r="T160">
        <v>11.6</v>
      </c>
      <c r="U160">
        <v>25.1</v>
      </c>
      <c r="V160">
        <v>1326</v>
      </c>
      <c r="W160">
        <v>15</v>
      </c>
      <c r="X160" t="s">
        <v>63</v>
      </c>
    </row>
    <row r="161" spans="1:24">
      <c r="A161" t="str">
        <f>Hyperlink("https://www.diodes.com/part/view/DMG3402L","DMG3402L")</f>
        <v>DMG3402L</v>
      </c>
      <c r="B161" t="str">
        <f>Hyperlink("https://www.diodes.com/assets/Datasheets/DMG3402L.pdf","DMG3402L Datasheet")</f>
        <v>DMG3402L Datasheet</v>
      </c>
      <c r="C161" t="s">
        <v>24</v>
      </c>
      <c r="D161" t="s">
        <v>25</v>
      </c>
      <c r="E161" t="s">
        <v>26</v>
      </c>
      <c r="F161" t="s">
        <v>27</v>
      </c>
      <c r="G161" t="s">
        <v>28</v>
      </c>
      <c r="H161">
        <v>30</v>
      </c>
      <c r="I161">
        <v>12</v>
      </c>
      <c r="J161">
        <v>4</v>
      </c>
      <c r="L161">
        <v>1.4</v>
      </c>
      <c r="N161">
        <v>52</v>
      </c>
      <c r="O161">
        <v>65</v>
      </c>
      <c r="P161">
        <v>85</v>
      </c>
      <c r="S161">
        <v>1.4</v>
      </c>
      <c r="T161">
        <v>5.5</v>
      </c>
      <c r="U161">
        <v>11.7</v>
      </c>
      <c r="V161">
        <v>464</v>
      </c>
      <c r="X161" t="s">
        <v>32</v>
      </c>
    </row>
    <row r="162" spans="1:24">
      <c r="A162" t="str">
        <f>Hyperlink("https://www.diodes.com/part/view/DMG3402LQ","DMG3402LQ")</f>
        <v>DMG3402LQ</v>
      </c>
      <c r="B162" t="str">
        <f>Hyperlink("https://www.diodes.com/assets/Datasheets/DMG3402LQ.pdf","DMG3402LQ Datasheet")</f>
        <v>DMG3402LQ Datasheet</v>
      </c>
      <c r="C162" t="s">
        <v>24</v>
      </c>
      <c r="D162" t="s">
        <v>25</v>
      </c>
      <c r="E162" t="s">
        <v>33</v>
      </c>
      <c r="F162" t="s">
        <v>27</v>
      </c>
      <c r="G162" t="s">
        <v>28</v>
      </c>
      <c r="H162">
        <v>30</v>
      </c>
      <c r="I162">
        <v>12</v>
      </c>
      <c r="J162">
        <v>4</v>
      </c>
      <c r="L162">
        <v>1.4</v>
      </c>
      <c r="N162">
        <v>52</v>
      </c>
      <c r="O162">
        <v>65</v>
      </c>
      <c r="P162">
        <v>85</v>
      </c>
      <c r="S162">
        <v>1.4</v>
      </c>
      <c r="T162">
        <v>5.5</v>
      </c>
      <c r="U162">
        <v>11.7</v>
      </c>
      <c r="V162">
        <v>464</v>
      </c>
      <c r="W162">
        <v>15</v>
      </c>
      <c r="X162" t="s">
        <v>32</v>
      </c>
    </row>
    <row r="163" spans="1:24">
      <c r="A163" t="str">
        <f>Hyperlink("https://www.diodes.com/part/view/DMG3404L","DMG3404L")</f>
        <v>DMG3404L</v>
      </c>
      <c r="B163" t="str">
        <f>Hyperlink("https://www.diodes.com/assets/Datasheets/DMG3404L.pdf","DMG3404L Datasheet")</f>
        <v>DMG3404L Datasheet</v>
      </c>
      <c r="C163" t="s">
        <v>504</v>
      </c>
      <c r="D163" t="s">
        <v>28</v>
      </c>
      <c r="E163" t="s">
        <v>26</v>
      </c>
      <c r="F163" t="s">
        <v>27</v>
      </c>
      <c r="G163" t="s">
        <v>28</v>
      </c>
      <c r="H163">
        <v>30</v>
      </c>
      <c r="I163">
        <v>20</v>
      </c>
      <c r="J163">
        <v>5.8</v>
      </c>
      <c r="L163">
        <v>1.33</v>
      </c>
      <c r="N163">
        <v>25</v>
      </c>
      <c r="O163">
        <v>35</v>
      </c>
      <c r="S163">
        <v>2</v>
      </c>
      <c r="U163">
        <v>13.2</v>
      </c>
      <c r="V163">
        <v>641</v>
      </c>
      <c r="W163">
        <v>15</v>
      </c>
      <c r="X163" t="s">
        <v>32</v>
      </c>
    </row>
    <row r="164" spans="1:24">
      <c r="A164" t="str">
        <f>Hyperlink("https://www.diodes.com/part/view/DMG3406L","DMG3406L")</f>
        <v>DMG3406L</v>
      </c>
      <c r="B164" t="str">
        <f>Hyperlink("https://www.diodes.com/assets/Datasheets/DMG3406L.pdf","DMG3406L Datasheet")</f>
        <v>DMG3406L Datasheet</v>
      </c>
      <c r="C164" t="s">
        <v>504</v>
      </c>
      <c r="D164" t="s">
        <v>28</v>
      </c>
      <c r="E164" t="s">
        <v>26</v>
      </c>
      <c r="F164" t="s">
        <v>27</v>
      </c>
      <c r="G164" t="s">
        <v>28</v>
      </c>
      <c r="H164">
        <v>30</v>
      </c>
      <c r="I164">
        <v>20</v>
      </c>
      <c r="J164">
        <v>3.6</v>
      </c>
      <c r="L164">
        <v>1.4</v>
      </c>
      <c r="N164">
        <v>50</v>
      </c>
      <c r="O164">
        <v>70</v>
      </c>
      <c r="S164">
        <v>2</v>
      </c>
      <c r="T164">
        <v>5.3</v>
      </c>
      <c r="U164">
        <v>11.2</v>
      </c>
      <c r="V164">
        <v>495</v>
      </c>
      <c r="W164">
        <v>15</v>
      </c>
      <c r="X164" t="s">
        <v>32</v>
      </c>
    </row>
    <row r="165" spans="1:24">
      <c r="A165" t="str">
        <f>Hyperlink("https://www.diodes.com/part/view/DMG3407SSN","DMG3407SSN")</f>
        <v>DMG3407SSN</v>
      </c>
      <c r="B165" t="str">
        <f>Hyperlink("https://www.diodes.com/assets/Datasheets/DMG3407SSN2.pdf","DMG3407SSN Datasheet")</f>
        <v>DMG3407SSN Datasheet</v>
      </c>
      <c r="C165" t="s">
        <v>51</v>
      </c>
      <c r="D165" t="s">
        <v>25</v>
      </c>
      <c r="E165" t="s">
        <v>26</v>
      </c>
      <c r="F165" t="s">
        <v>52</v>
      </c>
      <c r="G165" t="s">
        <v>28</v>
      </c>
      <c r="H165">
        <v>30</v>
      </c>
      <c r="I165">
        <v>20</v>
      </c>
      <c r="J165">
        <v>4</v>
      </c>
      <c r="L165">
        <v>1.1</v>
      </c>
      <c r="N165">
        <v>50</v>
      </c>
      <c r="O165">
        <v>72</v>
      </c>
      <c r="S165">
        <v>2.1</v>
      </c>
      <c r="T165">
        <v>6.5</v>
      </c>
      <c r="U165">
        <v>13.3</v>
      </c>
      <c r="V165">
        <v>582</v>
      </c>
      <c r="X165" t="s">
        <v>63</v>
      </c>
    </row>
    <row r="166" spans="1:24">
      <c r="A166" t="str">
        <f>Hyperlink("https://www.diodes.com/part/view/DMG3413L","DMG3413L")</f>
        <v>DMG3413L</v>
      </c>
      <c r="B166" t="str">
        <f>Hyperlink("https://www.diodes.com/assets/Datasheets/DMG3413L.pdf","DMG3413L Datasheet")</f>
        <v>DMG3413L Datasheet</v>
      </c>
      <c r="C166" t="s">
        <v>51</v>
      </c>
      <c r="D166" t="s">
        <v>25</v>
      </c>
      <c r="E166" t="s">
        <v>26</v>
      </c>
      <c r="F166" t="s">
        <v>52</v>
      </c>
      <c r="G166" t="s">
        <v>28</v>
      </c>
      <c r="H166">
        <v>20</v>
      </c>
      <c r="I166">
        <v>8</v>
      </c>
      <c r="J166">
        <v>3</v>
      </c>
      <c r="L166">
        <v>1.3</v>
      </c>
      <c r="O166">
        <v>95</v>
      </c>
      <c r="P166">
        <v>130</v>
      </c>
      <c r="Q166">
        <v>190</v>
      </c>
      <c r="R166">
        <v>0.6</v>
      </c>
      <c r="S166">
        <v>1.3</v>
      </c>
      <c r="T166">
        <v>9</v>
      </c>
      <c r="V166">
        <v>857</v>
      </c>
      <c r="W166">
        <v>10</v>
      </c>
      <c r="X166" t="s">
        <v>32</v>
      </c>
    </row>
    <row r="167" spans="1:24">
      <c r="A167" t="str">
        <f>Hyperlink("https://www.diodes.com/part/view/DMG3414U","DMG3414U")</f>
        <v>DMG3414U</v>
      </c>
      <c r="B167" t="str">
        <f>Hyperlink("https://www.diodes.com/assets/Datasheets/DMG3414U.pdf","DMG3414U Datasheet")</f>
        <v>DMG3414U Datasheet</v>
      </c>
      <c r="C167" t="s">
        <v>496</v>
      </c>
      <c r="D167" t="s">
        <v>25</v>
      </c>
      <c r="E167" t="s">
        <v>26</v>
      </c>
      <c r="F167" t="s">
        <v>27</v>
      </c>
      <c r="G167" t="s">
        <v>28</v>
      </c>
      <c r="H167">
        <v>20</v>
      </c>
      <c r="I167">
        <v>8</v>
      </c>
      <c r="J167">
        <v>4.2</v>
      </c>
      <c r="L167">
        <v>0.78</v>
      </c>
      <c r="O167">
        <v>25</v>
      </c>
      <c r="P167">
        <v>29</v>
      </c>
      <c r="Q167">
        <v>37</v>
      </c>
      <c r="R167">
        <v>0.5</v>
      </c>
      <c r="S167">
        <v>0.9</v>
      </c>
      <c r="T167">
        <v>9.6</v>
      </c>
      <c r="V167">
        <v>830</v>
      </c>
      <c r="X167" t="s">
        <v>32</v>
      </c>
    </row>
    <row r="168" spans="1:24">
      <c r="A168" t="str">
        <f>Hyperlink("https://www.diodes.com/part/view/DMG3414UQ","DMG3414UQ")</f>
        <v>DMG3414UQ</v>
      </c>
      <c r="B168" t="str">
        <f>Hyperlink("https://www.diodes.com/assets/Datasheets/DMG3414UQ.pdf","DMG3414UQ Datasheet")</f>
        <v>DMG3414UQ Datasheet</v>
      </c>
      <c r="C168" t="s">
        <v>24</v>
      </c>
      <c r="D168" t="s">
        <v>25</v>
      </c>
      <c r="E168" t="s">
        <v>33</v>
      </c>
      <c r="F168" t="s">
        <v>27</v>
      </c>
      <c r="G168" t="s">
        <v>28</v>
      </c>
      <c r="H168">
        <v>20</v>
      </c>
      <c r="I168">
        <v>8</v>
      </c>
      <c r="J168">
        <v>4.2</v>
      </c>
      <c r="L168">
        <v>0.78</v>
      </c>
      <c r="O168">
        <v>25</v>
      </c>
      <c r="P168">
        <v>29</v>
      </c>
      <c r="Q168">
        <v>37</v>
      </c>
      <c r="R168">
        <v>0.5</v>
      </c>
      <c r="S168">
        <v>0.9</v>
      </c>
      <c r="T168">
        <v>9.6</v>
      </c>
      <c r="V168">
        <v>829.9</v>
      </c>
      <c r="W168">
        <v>10</v>
      </c>
      <c r="X168" t="s">
        <v>32</v>
      </c>
    </row>
    <row r="169" spans="1:24">
      <c r="A169" t="str">
        <f>Hyperlink("https://www.diodes.com/part/view/DMG3415UFY4Q","DMG3415UFY4Q")</f>
        <v>DMG3415UFY4Q</v>
      </c>
      <c r="B169" t="str">
        <f>Hyperlink("https://www.diodes.com/assets/Datasheets/DMG3415UFY4Q.pdf","DMG3415UFY4Q Datasheet")</f>
        <v>DMG3415UFY4Q Datasheet</v>
      </c>
      <c r="C169" t="s">
        <v>51</v>
      </c>
      <c r="D169" t="s">
        <v>25</v>
      </c>
      <c r="E169" t="s">
        <v>33</v>
      </c>
      <c r="F169" t="s">
        <v>52</v>
      </c>
      <c r="G169" t="s">
        <v>25</v>
      </c>
      <c r="H169">
        <v>16</v>
      </c>
      <c r="I169">
        <v>8</v>
      </c>
      <c r="J169">
        <v>2.5</v>
      </c>
      <c r="L169">
        <v>1.35</v>
      </c>
      <c r="N169">
        <v>39</v>
      </c>
      <c r="O169">
        <v>52</v>
      </c>
      <c r="P169">
        <v>65</v>
      </c>
      <c r="R169">
        <v>0.3</v>
      </c>
      <c r="S169">
        <v>1</v>
      </c>
      <c r="T169">
        <v>10</v>
      </c>
      <c r="V169">
        <v>282</v>
      </c>
      <c r="W169">
        <v>10</v>
      </c>
      <c r="X169" t="s">
        <v>505</v>
      </c>
    </row>
    <row r="170" spans="1:24">
      <c r="A170" t="str">
        <f>Hyperlink("https://www.diodes.com/part/view/DMG3418L","DMG3418L")</f>
        <v>DMG3418L</v>
      </c>
      <c r="B170" t="str">
        <f>Hyperlink("https://www.diodes.com/assets/Datasheets/DMG3418L.pdf","DMG3418L Datasheet")</f>
        <v>DMG3418L Datasheet</v>
      </c>
      <c r="C170" t="s">
        <v>24</v>
      </c>
      <c r="D170" t="s">
        <v>25</v>
      </c>
      <c r="E170" t="s">
        <v>26</v>
      </c>
      <c r="F170" t="s">
        <v>27</v>
      </c>
      <c r="G170" t="s">
        <v>28</v>
      </c>
      <c r="H170">
        <v>30</v>
      </c>
      <c r="I170">
        <v>12</v>
      </c>
      <c r="J170">
        <v>4</v>
      </c>
      <c r="L170">
        <v>1.4</v>
      </c>
      <c r="N170">
        <v>60</v>
      </c>
      <c r="O170">
        <v>70</v>
      </c>
      <c r="P170">
        <v>150</v>
      </c>
      <c r="S170">
        <v>1.5</v>
      </c>
      <c r="T170">
        <v>5.5</v>
      </c>
      <c r="V170">
        <v>464</v>
      </c>
      <c r="X170" t="s">
        <v>32</v>
      </c>
    </row>
    <row r="171" spans="1:24">
      <c r="A171" t="str">
        <f>Hyperlink("https://www.diodes.com/part/view/DMG3420UQ","DMG3420UQ")</f>
        <v>DMG3420UQ</v>
      </c>
      <c r="B171" t="str">
        <f>Hyperlink("https://www.diodes.com/assets/Datasheets/DMG3420UQ.pdf","DMG3420UQ Datasheet")</f>
        <v>DMG3420UQ Datasheet</v>
      </c>
      <c r="C171" t="s">
        <v>24</v>
      </c>
      <c r="D171" t="s">
        <v>25</v>
      </c>
      <c r="E171" t="s">
        <v>33</v>
      </c>
      <c r="F171" t="s">
        <v>27</v>
      </c>
      <c r="G171" t="s">
        <v>28</v>
      </c>
      <c r="H171">
        <v>20</v>
      </c>
      <c r="I171">
        <v>12</v>
      </c>
      <c r="J171">
        <v>5.47</v>
      </c>
      <c r="L171">
        <v>0.74</v>
      </c>
      <c r="N171">
        <v>29</v>
      </c>
      <c r="O171">
        <v>35</v>
      </c>
      <c r="P171">
        <v>48</v>
      </c>
      <c r="Q171">
        <v>91</v>
      </c>
      <c r="R171">
        <v>0.5</v>
      </c>
      <c r="S171">
        <v>1.2</v>
      </c>
      <c r="T171">
        <v>5.4</v>
      </c>
      <c r="V171">
        <v>434</v>
      </c>
      <c r="W171">
        <v>10</v>
      </c>
      <c r="X171" t="s">
        <v>32</v>
      </c>
    </row>
    <row r="172" spans="1:24">
      <c r="A172" t="str">
        <f>Hyperlink("https://www.diodes.com/part/view/DMG4466SSS","DMG4466SSS")</f>
        <v>DMG4466SSS</v>
      </c>
      <c r="B172" t="str">
        <f>Hyperlink("https://www.diodes.com/assets/Datasheets/ds32137.pdf","DMG4466SSS Datasheet")</f>
        <v>DMG4466SSS Datasheet</v>
      </c>
      <c r="C172" t="s">
        <v>24</v>
      </c>
      <c r="D172" t="s">
        <v>25</v>
      </c>
      <c r="E172" t="s">
        <v>26</v>
      </c>
      <c r="F172" t="s">
        <v>27</v>
      </c>
      <c r="G172" t="s">
        <v>28</v>
      </c>
      <c r="H172">
        <v>30</v>
      </c>
      <c r="I172">
        <v>25</v>
      </c>
      <c r="J172">
        <v>10</v>
      </c>
      <c r="L172">
        <v>1.42</v>
      </c>
      <c r="N172">
        <v>23</v>
      </c>
      <c r="O172">
        <v>33</v>
      </c>
      <c r="S172">
        <v>2.4</v>
      </c>
      <c r="T172">
        <v>5</v>
      </c>
      <c r="U172">
        <v>10.5</v>
      </c>
      <c r="V172">
        <v>479</v>
      </c>
      <c r="X172" t="s">
        <v>155</v>
      </c>
    </row>
    <row r="173" spans="1:24">
      <c r="A173" t="str">
        <f>Hyperlink("https://www.diodes.com/part/view/DMG4466SSSL","DMG4466SSSL")</f>
        <v>DMG4466SSSL</v>
      </c>
      <c r="B173" t="str">
        <f>Hyperlink("https://www.diodes.com/assets/Datasheets/ds32244.pdf","DMG4466SSSL Datasheet")</f>
        <v>DMG4466SSSL Datasheet</v>
      </c>
      <c r="C173" t="s">
        <v>24</v>
      </c>
      <c r="D173" t="s">
        <v>25</v>
      </c>
      <c r="E173" t="s">
        <v>26</v>
      </c>
      <c r="F173" t="s">
        <v>27</v>
      </c>
      <c r="G173" t="s">
        <v>28</v>
      </c>
      <c r="H173">
        <v>30</v>
      </c>
      <c r="I173">
        <v>20</v>
      </c>
      <c r="J173">
        <v>10</v>
      </c>
      <c r="L173">
        <v>1.42</v>
      </c>
      <c r="N173">
        <v>23</v>
      </c>
      <c r="O173">
        <v>33</v>
      </c>
      <c r="S173">
        <v>2.4</v>
      </c>
      <c r="T173">
        <v>5</v>
      </c>
      <c r="U173">
        <v>10.5</v>
      </c>
      <c r="V173">
        <v>479</v>
      </c>
      <c r="X173" t="s">
        <v>155</v>
      </c>
    </row>
    <row r="174" spans="1:24">
      <c r="A174" t="str">
        <f>Hyperlink("https://www.diodes.com/part/view/DMG4468LFG","DMG4468LFG")</f>
        <v>DMG4468LFG</v>
      </c>
      <c r="B174" t="str">
        <f>Hyperlink("https://www.diodes.com/assets/Datasheets/ds31857.pdf","DMG4468LFG Datasheet")</f>
        <v>DMG4468LFG Datasheet</v>
      </c>
      <c r="C174" t="s">
        <v>24</v>
      </c>
      <c r="D174" t="s">
        <v>25</v>
      </c>
      <c r="E174" t="s">
        <v>26</v>
      </c>
      <c r="F174" t="s">
        <v>27</v>
      </c>
      <c r="G174" t="s">
        <v>28</v>
      </c>
      <c r="H174">
        <v>30</v>
      </c>
      <c r="I174">
        <v>20</v>
      </c>
      <c r="J174">
        <v>7.62</v>
      </c>
      <c r="L174">
        <v>0.99</v>
      </c>
      <c r="N174">
        <v>15</v>
      </c>
      <c r="O174">
        <v>23.5</v>
      </c>
      <c r="S174">
        <v>2</v>
      </c>
      <c r="U174">
        <v>18.85</v>
      </c>
      <c r="V174">
        <v>867</v>
      </c>
      <c r="X174" t="s">
        <v>506</v>
      </c>
    </row>
    <row r="175" spans="1:24">
      <c r="A175" t="str">
        <f>Hyperlink("https://www.diodes.com/part/view/DMG4468LK3","DMG4468LK3")</f>
        <v>DMG4468LK3</v>
      </c>
      <c r="B175" t="str">
        <f>Hyperlink("https://www.diodes.com/assets/Datasheets/DMG4468LK3.pdf","DMG4468LK3 Datasheet")</f>
        <v>DMG4468LK3 Datasheet</v>
      </c>
      <c r="C175" t="s">
        <v>24</v>
      </c>
      <c r="D175" t="s">
        <v>25</v>
      </c>
      <c r="E175" t="s">
        <v>26</v>
      </c>
      <c r="F175" t="s">
        <v>27</v>
      </c>
      <c r="G175" t="s">
        <v>28</v>
      </c>
      <c r="H175">
        <v>30</v>
      </c>
      <c r="I175">
        <v>20</v>
      </c>
      <c r="J175">
        <v>9.7</v>
      </c>
      <c r="L175">
        <v>1.68</v>
      </c>
      <c r="N175">
        <v>16</v>
      </c>
      <c r="O175">
        <v>25</v>
      </c>
      <c r="S175">
        <v>1.95</v>
      </c>
      <c r="U175">
        <v>18.85</v>
      </c>
      <c r="V175">
        <v>867</v>
      </c>
      <c r="X175" t="s">
        <v>507</v>
      </c>
    </row>
    <row r="176" spans="1:24">
      <c r="A176" t="str">
        <f>Hyperlink("https://www.diodes.com/part/view/DMG4496SSS","DMG4496SSS")</f>
        <v>DMG4496SSS</v>
      </c>
      <c r="B176" t="str">
        <f>Hyperlink("https://www.diodes.com/assets/Datasheets/ds32048.pdf","DMG4496SSS Datasheet")</f>
        <v>DMG4496SSS Datasheet</v>
      </c>
      <c r="C176" t="s">
        <v>24</v>
      </c>
      <c r="D176" t="s">
        <v>25</v>
      </c>
      <c r="E176" t="s">
        <v>26</v>
      </c>
      <c r="F176" t="s">
        <v>27</v>
      </c>
      <c r="G176" t="s">
        <v>28</v>
      </c>
      <c r="H176">
        <v>30</v>
      </c>
      <c r="I176">
        <v>25</v>
      </c>
      <c r="J176">
        <v>10</v>
      </c>
      <c r="L176">
        <v>1.42</v>
      </c>
      <c r="N176">
        <v>21.5</v>
      </c>
      <c r="O176">
        <v>29</v>
      </c>
      <c r="S176">
        <v>2</v>
      </c>
      <c r="T176">
        <v>4.7</v>
      </c>
      <c r="U176">
        <v>10.2</v>
      </c>
      <c r="V176">
        <v>493.5</v>
      </c>
      <c r="X176" t="s">
        <v>155</v>
      </c>
    </row>
    <row r="177" spans="1:24">
      <c r="A177" t="str">
        <f>Hyperlink("https://www.diodes.com/part/view/DMG4511SK4","DMG4511SK4")</f>
        <v>DMG4511SK4</v>
      </c>
      <c r="B177" t="str">
        <f>Hyperlink("https://www.diodes.com/assets/Datasheets/DMG4511SK4.pdf","DMG4511SK4 Datasheet")</f>
        <v>DMG4511SK4 Datasheet</v>
      </c>
      <c r="C177" t="s">
        <v>68</v>
      </c>
      <c r="D177" t="s">
        <v>25</v>
      </c>
      <c r="E177" t="s">
        <v>26</v>
      </c>
      <c r="F177" t="s">
        <v>69</v>
      </c>
      <c r="G177" t="s">
        <v>28</v>
      </c>
      <c r="H177" t="s">
        <v>508</v>
      </c>
      <c r="I177" t="s">
        <v>71</v>
      </c>
      <c r="J177" t="s">
        <v>509</v>
      </c>
      <c r="L177">
        <v>4.1</v>
      </c>
      <c r="N177" t="s">
        <v>510</v>
      </c>
      <c r="O177" t="s">
        <v>511</v>
      </c>
      <c r="S177" t="s">
        <v>160</v>
      </c>
      <c r="T177" t="s">
        <v>512</v>
      </c>
      <c r="U177" t="s">
        <v>513</v>
      </c>
      <c r="V177" t="s">
        <v>514</v>
      </c>
      <c r="W177" t="s">
        <v>97</v>
      </c>
      <c r="X177" t="s">
        <v>441</v>
      </c>
    </row>
    <row r="178" spans="1:24">
      <c r="A178" t="str">
        <f>Hyperlink("https://www.diodes.com/part/view/DMG4800LFG","DMG4800LFG")</f>
        <v>DMG4800LFG</v>
      </c>
      <c r="B178" t="str">
        <f>Hyperlink("https://www.diodes.com/assets/Datasheets/ds31785.pdf","DMG4800LFG Datasheet")</f>
        <v>DMG4800LFG Datasheet</v>
      </c>
      <c r="C178" t="s">
        <v>24</v>
      </c>
      <c r="D178" t="s">
        <v>25</v>
      </c>
      <c r="E178" t="s">
        <v>26</v>
      </c>
      <c r="F178" t="s">
        <v>27</v>
      </c>
      <c r="G178" t="s">
        <v>28</v>
      </c>
      <c r="H178">
        <v>30</v>
      </c>
      <c r="I178">
        <v>25</v>
      </c>
      <c r="J178">
        <v>7.44</v>
      </c>
      <c r="L178">
        <v>0.94</v>
      </c>
      <c r="N178">
        <v>17</v>
      </c>
      <c r="O178">
        <v>24</v>
      </c>
      <c r="S178">
        <v>1.5</v>
      </c>
      <c r="T178" t="s">
        <v>515</v>
      </c>
      <c r="V178">
        <v>798</v>
      </c>
      <c r="X178" t="s">
        <v>506</v>
      </c>
    </row>
    <row r="179" spans="1:24">
      <c r="A179" t="str">
        <f>Hyperlink("https://www.diodes.com/part/view/DMG4800LK3","DMG4800LK3")</f>
        <v>DMG4800LK3</v>
      </c>
      <c r="B179" t="str">
        <f>Hyperlink("https://www.diodes.com/assets/Datasheets/ds31959.pdf","DMG4800LK3 Datasheet")</f>
        <v>DMG4800LK3 Datasheet</v>
      </c>
      <c r="C179" t="s">
        <v>24</v>
      </c>
      <c r="D179" t="s">
        <v>25</v>
      </c>
      <c r="E179" t="s">
        <v>26</v>
      </c>
      <c r="F179" t="s">
        <v>27</v>
      </c>
      <c r="G179" t="s">
        <v>28</v>
      </c>
      <c r="H179">
        <v>30</v>
      </c>
      <c r="I179">
        <v>25</v>
      </c>
      <c r="J179">
        <v>10</v>
      </c>
      <c r="L179">
        <v>1.7</v>
      </c>
      <c r="N179">
        <v>17</v>
      </c>
      <c r="O179">
        <v>24</v>
      </c>
      <c r="S179">
        <v>1.6</v>
      </c>
      <c r="T179" t="s">
        <v>516</v>
      </c>
      <c r="V179">
        <v>798</v>
      </c>
      <c r="X179" t="s">
        <v>507</v>
      </c>
    </row>
    <row r="180" spans="1:24">
      <c r="A180" t="str">
        <f>Hyperlink("https://www.diodes.com/part/view/DMG4800LSD","DMG4800LSD")</f>
        <v>DMG4800LSD</v>
      </c>
      <c r="B180" t="str">
        <f>Hyperlink("https://www.diodes.com/assets/Datasheets/DMG4800LSD.pdf","DMG4800LSD Datasheet")</f>
        <v>DMG4800LSD Datasheet</v>
      </c>
      <c r="C180" t="s">
        <v>34</v>
      </c>
      <c r="D180" t="s">
        <v>25</v>
      </c>
      <c r="E180" t="s">
        <v>26</v>
      </c>
      <c r="F180" t="s">
        <v>35</v>
      </c>
      <c r="G180" t="s">
        <v>28</v>
      </c>
      <c r="H180">
        <v>30</v>
      </c>
      <c r="I180">
        <v>25</v>
      </c>
      <c r="J180">
        <v>9.8</v>
      </c>
      <c r="L180">
        <v>1.5</v>
      </c>
      <c r="N180">
        <v>16</v>
      </c>
      <c r="O180">
        <v>22</v>
      </c>
      <c r="S180">
        <v>1.6</v>
      </c>
      <c r="T180" t="s">
        <v>517</v>
      </c>
      <c r="V180">
        <v>798</v>
      </c>
      <c r="X180" t="s">
        <v>155</v>
      </c>
    </row>
    <row r="181" spans="1:24">
      <c r="A181" t="str">
        <f>Hyperlink("https://www.diodes.com/part/view/DMG4822SSD","DMG4822SSD")</f>
        <v>DMG4822SSD</v>
      </c>
      <c r="B181" t="str">
        <f>Hyperlink("https://www.diodes.com/assets/Datasheets/DMG4822SSD.pdf","DMG4822SSD Datasheet")</f>
        <v>DMG4822SSD Datasheet</v>
      </c>
      <c r="C181" t="s">
        <v>34</v>
      </c>
      <c r="D181" t="s">
        <v>25</v>
      </c>
      <c r="E181" t="s">
        <v>26</v>
      </c>
      <c r="F181" t="s">
        <v>35</v>
      </c>
      <c r="G181" t="s">
        <v>28</v>
      </c>
      <c r="H181">
        <v>30</v>
      </c>
      <c r="I181">
        <v>25</v>
      </c>
      <c r="J181">
        <v>10</v>
      </c>
      <c r="L181">
        <v>1.42</v>
      </c>
      <c r="N181">
        <v>20</v>
      </c>
      <c r="O181">
        <v>31</v>
      </c>
      <c r="S181">
        <v>3</v>
      </c>
      <c r="T181">
        <v>5</v>
      </c>
      <c r="U181">
        <v>10.5</v>
      </c>
      <c r="V181">
        <v>479</v>
      </c>
      <c r="X181" t="s">
        <v>155</v>
      </c>
    </row>
    <row r="182" spans="1:24">
      <c r="A182" t="str">
        <f>Hyperlink("https://www.diodes.com/part/view/DMG5802LFX","DMG5802LFX")</f>
        <v>DMG5802LFX</v>
      </c>
      <c r="B182" t="str">
        <f>Hyperlink("https://www.diodes.com/assets/Datasheets/DMG5802LFX.pdf","DMG5802LFX Datasheet")</f>
        <v>DMG5802LFX Datasheet</v>
      </c>
      <c r="C182" t="s">
        <v>496</v>
      </c>
      <c r="D182" t="s">
        <v>25</v>
      </c>
      <c r="E182" t="s">
        <v>26</v>
      </c>
      <c r="F182" t="s">
        <v>35</v>
      </c>
      <c r="G182" t="s">
        <v>25</v>
      </c>
      <c r="H182">
        <v>24</v>
      </c>
      <c r="I182">
        <v>12</v>
      </c>
      <c r="J182">
        <v>6.5</v>
      </c>
      <c r="L182">
        <v>0.98</v>
      </c>
      <c r="O182">
        <v>15</v>
      </c>
      <c r="P182">
        <v>20</v>
      </c>
      <c r="S182">
        <v>1.5</v>
      </c>
      <c r="T182">
        <v>14.5</v>
      </c>
      <c r="U182">
        <v>31.3</v>
      </c>
      <c r="V182">
        <v>1080</v>
      </c>
      <c r="X182" t="s">
        <v>518</v>
      </c>
    </row>
    <row r="183" spans="1:24">
      <c r="A183" t="str">
        <f>Hyperlink("https://www.diodes.com/part/view/DMG6301UDW","DMG6301UDW")</f>
        <v>DMG6301UDW</v>
      </c>
      <c r="B183" t="str">
        <f>Hyperlink("https://www.diodes.com/assets/Datasheets/DMG6301UDW.pdf","DMG6301UDW Datasheet")</f>
        <v>DMG6301UDW Datasheet</v>
      </c>
      <c r="C183" t="s">
        <v>496</v>
      </c>
      <c r="D183" t="s">
        <v>25</v>
      </c>
      <c r="E183" t="s">
        <v>26</v>
      </c>
      <c r="F183" t="s">
        <v>35</v>
      </c>
      <c r="G183" t="s">
        <v>25</v>
      </c>
      <c r="H183">
        <v>25</v>
      </c>
      <c r="I183">
        <v>8</v>
      </c>
      <c r="J183">
        <v>0.24</v>
      </c>
      <c r="L183">
        <v>0.3</v>
      </c>
      <c r="O183">
        <v>4000</v>
      </c>
      <c r="P183">
        <v>5000</v>
      </c>
      <c r="R183">
        <v>0.65</v>
      </c>
      <c r="S183">
        <v>1.5</v>
      </c>
      <c r="T183">
        <v>0.36</v>
      </c>
      <c r="V183">
        <v>27.9</v>
      </c>
      <c r="X183" t="s">
        <v>37</v>
      </c>
    </row>
    <row r="184" spans="1:24">
      <c r="A184" t="str">
        <f>Hyperlink("https://www.diodes.com/part/view/DMG6302UDW","DMG6302UDW")</f>
        <v>DMG6302UDW</v>
      </c>
      <c r="B184" t="str">
        <f>Hyperlink("https://www.diodes.com/assets/Datasheets/DMG6302UDW.pdf","DMG6302UDW Datasheet")</f>
        <v>DMG6302UDW Datasheet</v>
      </c>
      <c r="C184" t="s">
        <v>80</v>
      </c>
      <c r="D184" t="s">
        <v>28</v>
      </c>
      <c r="E184" t="s">
        <v>26</v>
      </c>
      <c r="F184" t="s">
        <v>78</v>
      </c>
      <c r="G184" t="s">
        <v>25</v>
      </c>
      <c r="H184">
        <v>25</v>
      </c>
      <c r="I184">
        <v>8</v>
      </c>
      <c r="J184">
        <v>0.15</v>
      </c>
      <c r="L184">
        <v>0.38</v>
      </c>
      <c r="O184">
        <v>10000</v>
      </c>
      <c r="P184" t="s">
        <v>519</v>
      </c>
      <c r="R184">
        <v>0.65</v>
      </c>
      <c r="S184">
        <v>1.5</v>
      </c>
      <c r="T184">
        <v>0.34</v>
      </c>
      <c r="V184">
        <v>30.7</v>
      </c>
      <c r="W184">
        <v>10</v>
      </c>
      <c r="X184" t="s">
        <v>37</v>
      </c>
    </row>
    <row r="185" spans="1:24">
      <c r="A185" t="str">
        <f>Hyperlink("https://www.diodes.com/part/view/DMG6402LVT","DMG6402LVT")</f>
        <v>DMG6402LVT</v>
      </c>
      <c r="B185" t="str">
        <f>Hyperlink("https://www.diodes.com/assets/Datasheets/DMG6402LVT.pdf","DMG6402LVT Datasheet")</f>
        <v>DMG6402LVT Datasheet</v>
      </c>
      <c r="C185" t="s">
        <v>24</v>
      </c>
      <c r="D185" t="s">
        <v>25</v>
      </c>
      <c r="E185" t="s">
        <v>26</v>
      </c>
      <c r="F185" t="s">
        <v>27</v>
      </c>
      <c r="G185" t="s">
        <v>28</v>
      </c>
      <c r="H185">
        <v>30</v>
      </c>
      <c r="I185">
        <v>20</v>
      </c>
      <c r="J185">
        <v>6</v>
      </c>
      <c r="L185">
        <v>1.75</v>
      </c>
      <c r="N185">
        <v>30</v>
      </c>
      <c r="O185">
        <v>42</v>
      </c>
      <c r="S185">
        <v>2</v>
      </c>
      <c r="U185">
        <v>11.4</v>
      </c>
      <c r="V185">
        <v>498</v>
      </c>
      <c r="X185" t="s">
        <v>128</v>
      </c>
    </row>
    <row r="186" spans="1:24">
      <c r="A186" t="str">
        <f>Hyperlink("https://www.diodes.com/part/view/DMG6601LVT","DMG6601LVT")</f>
        <v>DMG6601LVT</v>
      </c>
      <c r="B186" t="str">
        <f>Hyperlink("https://www.diodes.com/assets/Datasheets/DMG6601LVT.pdf","DMG6601LVT Datasheet")</f>
        <v>DMG6601LVT Datasheet</v>
      </c>
      <c r="C186" t="s">
        <v>68</v>
      </c>
      <c r="D186" t="s">
        <v>25</v>
      </c>
      <c r="E186" t="s">
        <v>26</v>
      </c>
      <c r="F186" t="s">
        <v>69</v>
      </c>
      <c r="G186" t="s">
        <v>28</v>
      </c>
      <c r="H186" t="s">
        <v>285</v>
      </c>
      <c r="I186" t="s">
        <v>129</v>
      </c>
      <c r="J186" t="s">
        <v>520</v>
      </c>
      <c r="L186">
        <v>1.3</v>
      </c>
      <c r="N186" t="s">
        <v>521</v>
      </c>
      <c r="O186" t="s">
        <v>522</v>
      </c>
      <c r="P186" t="s">
        <v>523</v>
      </c>
      <c r="S186" t="s">
        <v>524</v>
      </c>
      <c r="T186" t="s">
        <v>525</v>
      </c>
      <c r="U186" t="s">
        <v>526</v>
      </c>
      <c r="V186" t="s">
        <v>527</v>
      </c>
      <c r="W186" t="s">
        <v>273</v>
      </c>
      <c r="X186" t="s">
        <v>128</v>
      </c>
    </row>
    <row r="187" spans="1:24">
      <c r="A187" t="str">
        <f>Hyperlink("https://www.diodes.com/part/view/DMG6898LSD","DMG6898LSD")</f>
        <v>DMG6898LSD</v>
      </c>
      <c r="B187" t="str">
        <f>Hyperlink("https://www.diodes.com/assets/Datasheets/DMG6898LSD.pdf","DMG6898LSD Datasheet")</f>
        <v>DMG6898LSD Datasheet</v>
      </c>
      <c r="C187" t="s">
        <v>496</v>
      </c>
      <c r="D187" t="s">
        <v>25</v>
      </c>
      <c r="E187" t="s">
        <v>26</v>
      </c>
      <c r="F187" t="s">
        <v>35</v>
      </c>
      <c r="G187" t="s">
        <v>25</v>
      </c>
      <c r="H187">
        <v>20</v>
      </c>
      <c r="I187">
        <v>12</v>
      </c>
      <c r="J187">
        <v>9.8</v>
      </c>
      <c r="L187">
        <v>1.28</v>
      </c>
      <c r="O187">
        <v>16</v>
      </c>
      <c r="P187">
        <v>23</v>
      </c>
      <c r="R187">
        <v>0.5</v>
      </c>
      <c r="S187">
        <v>1.5</v>
      </c>
      <c r="T187">
        <v>11.6</v>
      </c>
      <c r="U187">
        <v>26</v>
      </c>
      <c r="V187">
        <v>1149</v>
      </c>
      <c r="X187" t="s">
        <v>155</v>
      </c>
    </row>
    <row r="188" spans="1:24">
      <c r="A188" t="str">
        <f>Hyperlink("https://www.diodes.com/part/view/DMG6968UDM","DMG6968UDM")</f>
        <v>DMG6968UDM</v>
      </c>
      <c r="B188" t="str">
        <f>Hyperlink("https://www.diodes.com/assets/Datasheets/ds31758.pdf","DMG6968UDM Datasheet")</f>
        <v>DMG6968UDM Datasheet</v>
      </c>
      <c r="C188" t="s">
        <v>496</v>
      </c>
      <c r="D188" t="s">
        <v>25</v>
      </c>
      <c r="E188" t="s">
        <v>26</v>
      </c>
      <c r="F188" t="s">
        <v>35</v>
      </c>
      <c r="G188" t="s">
        <v>25</v>
      </c>
      <c r="H188">
        <v>20</v>
      </c>
      <c r="I188">
        <v>12</v>
      </c>
      <c r="J188">
        <v>6.5</v>
      </c>
      <c r="L188">
        <v>0.85</v>
      </c>
      <c r="O188">
        <v>24</v>
      </c>
      <c r="P188">
        <v>28</v>
      </c>
      <c r="Q188">
        <v>34</v>
      </c>
      <c r="R188">
        <v>0.5</v>
      </c>
      <c r="S188">
        <v>0.9</v>
      </c>
      <c r="T188">
        <v>8.8</v>
      </c>
      <c r="V188">
        <v>143</v>
      </c>
      <c r="X188" t="s">
        <v>261</v>
      </c>
    </row>
    <row r="189" spans="1:24">
      <c r="A189" t="str">
        <f>Hyperlink("https://www.diodes.com/part/view/DMG6968UTS","DMG6968UTS")</f>
        <v>DMG6968UTS</v>
      </c>
      <c r="B189" t="str">
        <f>Hyperlink("https://www.diodes.com/assets/Datasheets/ds31793.pdf","DMG6968UTS Datasheet")</f>
        <v>DMG6968UTS Datasheet</v>
      </c>
      <c r="C189" t="s">
        <v>496</v>
      </c>
      <c r="D189" t="s">
        <v>25</v>
      </c>
      <c r="E189" t="s">
        <v>26</v>
      </c>
      <c r="F189" t="s">
        <v>35</v>
      </c>
      <c r="G189" t="s">
        <v>25</v>
      </c>
      <c r="H189">
        <v>20</v>
      </c>
      <c r="I189">
        <v>12</v>
      </c>
      <c r="J189">
        <v>5.2</v>
      </c>
      <c r="L189">
        <v>1</v>
      </c>
      <c r="O189">
        <v>23</v>
      </c>
      <c r="P189">
        <v>27</v>
      </c>
      <c r="Q189">
        <v>34</v>
      </c>
      <c r="R189">
        <v>0.35</v>
      </c>
      <c r="S189">
        <v>0.95</v>
      </c>
      <c r="T189">
        <v>8.8</v>
      </c>
      <c r="V189">
        <v>143</v>
      </c>
      <c r="X189" t="s">
        <v>528</v>
      </c>
    </row>
    <row r="190" spans="1:24">
      <c r="A190" t="str">
        <f>Hyperlink("https://www.diodes.com/part/view/DMG7410SFG","DMG7410SFG")</f>
        <v>DMG7410SFG</v>
      </c>
      <c r="B190" t="str">
        <f>Hyperlink("https://www.diodes.com/assets/Datasheets/DMG7410SFG.pdf","DMG7410SFG Datasheet")</f>
        <v>DMG7410SFG Datasheet</v>
      </c>
      <c r="C190" t="s">
        <v>24</v>
      </c>
      <c r="D190" t="s">
        <v>25</v>
      </c>
      <c r="E190" t="s">
        <v>26</v>
      </c>
      <c r="F190" t="s">
        <v>27</v>
      </c>
      <c r="G190" t="s">
        <v>28</v>
      </c>
      <c r="H190">
        <v>30</v>
      </c>
      <c r="I190">
        <v>25</v>
      </c>
      <c r="J190">
        <v>8</v>
      </c>
      <c r="L190">
        <v>2.07</v>
      </c>
      <c r="N190">
        <v>20</v>
      </c>
      <c r="O190">
        <v>27</v>
      </c>
      <c r="S190">
        <v>2</v>
      </c>
      <c r="T190">
        <v>5.3</v>
      </c>
      <c r="U190">
        <v>11.3</v>
      </c>
      <c r="V190">
        <v>580</v>
      </c>
      <c r="X190" t="s">
        <v>529</v>
      </c>
    </row>
    <row r="191" spans="1:24">
      <c r="A191" t="str">
        <f>Hyperlink("https://www.diodes.com/part/view/DMG7430LFG","DMG7430LFG")</f>
        <v>DMG7430LFG</v>
      </c>
      <c r="B191" t="str">
        <f>Hyperlink("https://www.diodes.com/assets/Datasheets/DMG7430LFG.pdf","DMG7430LFG Datasheet")</f>
        <v>DMG7430LFG Datasheet</v>
      </c>
      <c r="C191" t="s">
        <v>24</v>
      </c>
      <c r="D191" t="s">
        <v>25</v>
      </c>
      <c r="E191" t="s">
        <v>26</v>
      </c>
      <c r="F191" t="s">
        <v>27</v>
      </c>
      <c r="G191" t="s">
        <v>28</v>
      </c>
      <c r="H191">
        <v>30</v>
      </c>
      <c r="I191">
        <v>20</v>
      </c>
      <c r="J191">
        <v>10.5</v>
      </c>
      <c r="L191">
        <v>2.2</v>
      </c>
      <c r="N191">
        <v>11</v>
      </c>
      <c r="O191">
        <v>15</v>
      </c>
      <c r="S191">
        <v>2.5</v>
      </c>
      <c r="T191">
        <v>12.5</v>
      </c>
      <c r="U191">
        <v>26.7</v>
      </c>
      <c r="V191">
        <v>1281</v>
      </c>
      <c r="X191" t="s">
        <v>529</v>
      </c>
    </row>
    <row r="192" spans="1:24">
      <c r="A192" t="str">
        <f>Hyperlink("https://www.diodes.com/part/view/DMG7430LFGQ","DMG7430LFGQ")</f>
        <v>DMG7430LFGQ</v>
      </c>
      <c r="B192" t="str">
        <f>Hyperlink("https://www.diodes.com/assets/Datasheets/DMG7430LFGQ.pdf","DMG7430LFGQ Datasheet")</f>
        <v>DMG7430LFGQ Datasheet</v>
      </c>
      <c r="C192" t="s">
        <v>24</v>
      </c>
      <c r="D192" t="s">
        <v>25</v>
      </c>
      <c r="E192" t="s">
        <v>33</v>
      </c>
      <c r="F192" t="s">
        <v>27</v>
      </c>
      <c r="G192" t="s">
        <v>28</v>
      </c>
      <c r="H192">
        <v>30</v>
      </c>
      <c r="I192">
        <v>20</v>
      </c>
      <c r="J192">
        <v>10.5</v>
      </c>
      <c r="L192">
        <v>2.2</v>
      </c>
      <c r="N192">
        <v>11</v>
      </c>
      <c r="O192">
        <v>15</v>
      </c>
      <c r="S192">
        <v>2.5</v>
      </c>
      <c r="T192">
        <v>12.5</v>
      </c>
      <c r="U192">
        <v>26.7</v>
      </c>
      <c r="V192">
        <v>1281</v>
      </c>
      <c r="W192">
        <v>15</v>
      </c>
      <c r="X192" t="s">
        <v>529</v>
      </c>
    </row>
    <row r="193" spans="1:24">
      <c r="A193" t="str">
        <f>Hyperlink("https://www.diodes.com/part/view/DMG8601UFG","DMG8601UFG")</f>
        <v>DMG8601UFG</v>
      </c>
      <c r="B193" t="str">
        <f>Hyperlink("https://www.diodes.com/assets/Datasheets/ds31788.pdf","DMG8601UFG Datasheet")</f>
        <v>DMG8601UFG Datasheet</v>
      </c>
      <c r="C193" t="s">
        <v>496</v>
      </c>
      <c r="D193" t="s">
        <v>25</v>
      </c>
      <c r="E193" t="s">
        <v>26</v>
      </c>
      <c r="F193" t="s">
        <v>35</v>
      </c>
      <c r="G193" t="s">
        <v>25</v>
      </c>
      <c r="H193">
        <v>20</v>
      </c>
      <c r="I193">
        <v>12</v>
      </c>
      <c r="J193">
        <v>6.1</v>
      </c>
      <c r="L193">
        <v>0.92</v>
      </c>
      <c r="O193">
        <v>23</v>
      </c>
      <c r="P193">
        <v>27</v>
      </c>
      <c r="Q193">
        <v>34</v>
      </c>
      <c r="R193">
        <v>0.35</v>
      </c>
      <c r="S193">
        <v>1.05</v>
      </c>
      <c r="T193">
        <v>8.8</v>
      </c>
      <c r="V193">
        <v>143</v>
      </c>
      <c r="X193" t="s">
        <v>506</v>
      </c>
    </row>
    <row r="194" spans="1:24">
      <c r="A194" t="str">
        <f>Hyperlink("https://www.diodes.com/part/view/DMG8822UTS","DMG8822UTS")</f>
        <v>DMG8822UTS</v>
      </c>
      <c r="B194" t="str">
        <f>Hyperlink("https://www.diodes.com/assets/Datasheets/ds31798.pdf","DMG8822UTS Datasheet")</f>
        <v>DMG8822UTS Datasheet</v>
      </c>
      <c r="C194" t="s">
        <v>496</v>
      </c>
      <c r="D194" t="s">
        <v>25</v>
      </c>
      <c r="E194" t="s">
        <v>26</v>
      </c>
      <c r="F194" t="s">
        <v>35</v>
      </c>
      <c r="G194" t="s">
        <v>28</v>
      </c>
      <c r="H194">
        <v>20</v>
      </c>
      <c r="I194">
        <v>8</v>
      </c>
      <c r="J194">
        <v>4.9</v>
      </c>
      <c r="L194">
        <v>0.87</v>
      </c>
      <c r="O194">
        <v>25</v>
      </c>
      <c r="P194">
        <v>29</v>
      </c>
      <c r="Q194">
        <v>37</v>
      </c>
      <c r="R194">
        <v>0.5</v>
      </c>
      <c r="S194">
        <v>0.9</v>
      </c>
      <c r="T194">
        <v>9.6</v>
      </c>
      <c r="V194">
        <v>841</v>
      </c>
      <c r="X194" t="s">
        <v>528</v>
      </c>
    </row>
    <row r="195" spans="1:24">
      <c r="A195" t="str">
        <f>Hyperlink("https://www.diodes.com/part/view/DMG8880LK3","DMG8880LK3")</f>
        <v>DMG8880LK3</v>
      </c>
      <c r="B195" t="str">
        <f>Hyperlink("https://www.diodes.com/assets/Datasheets/DMG8880LK3.pdf","DMG8880LK3 Datasheet")</f>
        <v>DMG8880LK3 Datasheet</v>
      </c>
      <c r="C195" t="s">
        <v>24</v>
      </c>
      <c r="D195" t="s">
        <v>25</v>
      </c>
      <c r="E195" t="s">
        <v>26</v>
      </c>
      <c r="F195" t="s">
        <v>27</v>
      </c>
      <c r="G195" t="s">
        <v>28</v>
      </c>
      <c r="H195">
        <v>30</v>
      </c>
      <c r="I195">
        <v>20</v>
      </c>
      <c r="J195">
        <v>16.5</v>
      </c>
      <c r="L195">
        <v>1.68</v>
      </c>
      <c r="N195">
        <v>7.5</v>
      </c>
      <c r="O195">
        <v>12</v>
      </c>
      <c r="S195">
        <v>2.3</v>
      </c>
      <c r="T195" t="s">
        <v>530</v>
      </c>
      <c r="U195">
        <v>27.6</v>
      </c>
      <c r="V195">
        <v>1289</v>
      </c>
      <c r="X195" t="s">
        <v>507</v>
      </c>
    </row>
    <row r="196" spans="1:24">
      <c r="A196" t="str">
        <f>Hyperlink("https://www.diodes.com/part/view/DMG9926UDM","DMG9926UDM")</f>
        <v>DMG9926UDM</v>
      </c>
      <c r="B196" t="str">
        <f>Hyperlink("https://www.diodes.com/assets/Datasheets/ds31770.pdf","DMG9926UDM Datasheet")</f>
        <v>DMG9926UDM Datasheet</v>
      </c>
      <c r="C196" t="s">
        <v>496</v>
      </c>
      <c r="D196" t="s">
        <v>25</v>
      </c>
      <c r="E196" t="s">
        <v>26</v>
      </c>
      <c r="F196" t="s">
        <v>35</v>
      </c>
      <c r="G196" t="s">
        <v>28</v>
      </c>
      <c r="H196">
        <v>20</v>
      </c>
      <c r="I196">
        <v>8</v>
      </c>
      <c r="J196">
        <v>4.2</v>
      </c>
      <c r="L196">
        <v>0.98</v>
      </c>
      <c r="O196">
        <v>28</v>
      </c>
      <c r="P196">
        <v>32</v>
      </c>
      <c r="Q196">
        <v>40</v>
      </c>
      <c r="R196">
        <v>0.5</v>
      </c>
      <c r="S196">
        <v>0.9</v>
      </c>
      <c r="T196">
        <v>8.3</v>
      </c>
      <c r="V196">
        <v>856</v>
      </c>
      <c r="X196" t="s">
        <v>261</v>
      </c>
    </row>
    <row r="197" spans="1:24">
      <c r="A197" t="str">
        <f>Hyperlink("https://www.diodes.com/part/view/DMG9926USD","DMG9926USD")</f>
        <v>DMG9926USD</v>
      </c>
      <c r="B197" t="str">
        <f>Hyperlink("https://www.diodes.com/assets/Datasheets/ds31757.pdf","DMG9926USD Datasheet")</f>
        <v>DMG9926USD Datasheet</v>
      </c>
      <c r="C197" t="s">
        <v>496</v>
      </c>
      <c r="D197" t="s">
        <v>25</v>
      </c>
      <c r="E197" t="s">
        <v>26</v>
      </c>
      <c r="F197" t="s">
        <v>35</v>
      </c>
      <c r="G197" t="s">
        <v>28</v>
      </c>
      <c r="H197">
        <v>20</v>
      </c>
      <c r="I197">
        <v>8</v>
      </c>
      <c r="J197">
        <v>8</v>
      </c>
      <c r="L197">
        <v>1.3</v>
      </c>
      <c r="O197">
        <v>24</v>
      </c>
      <c r="P197">
        <v>29</v>
      </c>
      <c r="Q197">
        <v>37</v>
      </c>
      <c r="R197">
        <v>0.5</v>
      </c>
      <c r="S197">
        <v>0.9</v>
      </c>
      <c r="T197">
        <v>8.8</v>
      </c>
      <c r="V197">
        <v>880</v>
      </c>
      <c r="X197" t="s">
        <v>155</v>
      </c>
    </row>
    <row r="198" spans="1:24">
      <c r="A198" t="str">
        <f>Hyperlink("https://www.diodes.com/part/view/DMG9933USD","DMG9933USD")</f>
        <v>DMG9933USD</v>
      </c>
      <c r="B198" t="str">
        <f>Hyperlink("https://www.diodes.com/assets/Datasheets/DMG9933USD.pdf","DMG9933USD Datasheet")</f>
        <v>DMG9933USD Datasheet</v>
      </c>
      <c r="C198" t="s">
        <v>77</v>
      </c>
      <c r="D198" t="s">
        <v>25</v>
      </c>
      <c r="E198" t="s">
        <v>26</v>
      </c>
      <c r="F198" t="s">
        <v>78</v>
      </c>
      <c r="G198" t="s">
        <v>28</v>
      </c>
      <c r="H198">
        <v>20</v>
      </c>
      <c r="I198">
        <v>12</v>
      </c>
      <c r="J198">
        <v>4.6</v>
      </c>
      <c r="L198">
        <v>1.2</v>
      </c>
      <c r="O198">
        <v>75</v>
      </c>
      <c r="P198">
        <v>110</v>
      </c>
      <c r="R198">
        <v>0.45</v>
      </c>
      <c r="S198">
        <v>1.1</v>
      </c>
      <c r="T198">
        <v>6.5</v>
      </c>
      <c r="V198">
        <v>608.4</v>
      </c>
      <c r="W198">
        <v>6</v>
      </c>
      <c r="X198" t="s">
        <v>155</v>
      </c>
    </row>
    <row r="199" spans="1:24">
      <c r="A199" t="str">
        <f>Hyperlink("https://www.diodes.com/part/view/DMGD7N45SSD","DMGD7N45SSD")</f>
        <v>DMGD7N45SSD</v>
      </c>
      <c r="B199" t="str">
        <f>Hyperlink("https://www.diodes.com/assets/Datasheets/DMGD7N45SSD.pdf","DMGD7N45SSD Datasheet")</f>
        <v>DMGD7N45SSD Datasheet</v>
      </c>
      <c r="C199" t="s">
        <v>34</v>
      </c>
      <c r="D199" t="s">
        <v>28</v>
      </c>
      <c r="E199" t="s">
        <v>26</v>
      </c>
      <c r="F199" t="s">
        <v>35</v>
      </c>
      <c r="G199" t="s">
        <v>28</v>
      </c>
      <c r="H199">
        <v>450</v>
      </c>
      <c r="I199">
        <v>30</v>
      </c>
      <c r="J199">
        <v>0.5</v>
      </c>
      <c r="L199">
        <v>1.64</v>
      </c>
      <c r="N199">
        <v>4000</v>
      </c>
      <c r="S199">
        <v>4.5</v>
      </c>
      <c r="U199">
        <v>6.9</v>
      </c>
      <c r="V199">
        <v>256</v>
      </c>
      <c r="X199" t="s">
        <v>155</v>
      </c>
    </row>
    <row r="200" spans="1:24">
      <c r="A200" t="str">
        <f>Hyperlink("https://www.diodes.com/part/view/DMHC10H170SFJ","DMHC10H170SFJ")</f>
        <v>DMHC10H170SFJ</v>
      </c>
      <c r="B200" t="str">
        <f>Hyperlink("https://www.diodes.com/assets/Datasheets/DMHC10H170SFJ.pdf","DMHC10H170SFJ Datasheet")</f>
        <v>DMHC10H170SFJ Datasheet</v>
      </c>
      <c r="C200" t="s">
        <v>531</v>
      </c>
      <c r="D200" t="s">
        <v>25</v>
      </c>
      <c r="E200" t="s">
        <v>26</v>
      </c>
      <c r="F200" t="s">
        <v>532</v>
      </c>
      <c r="G200" t="s">
        <v>28</v>
      </c>
      <c r="H200">
        <v>100</v>
      </c>
      <c r="I200">
        <v>20</v>
      </c>
      <c r="J200" t="s">
        <v>533</v>
      </c>
      <c r="L200">
        <v>2.1</v>
      </c>
      <c r="N200" t="s">
        <v>534</v>
      </c>
      <c r="O200" t="s">
        <v>535</v>
      </c>
      <c r="R200" t="s">
        <v>121</v>
      </c>
      <c r="S200" t="s">
        <v>160</v>
      </c>
      <c r="U200" t="s">
        <v>536</v>
      </c>
      <c r="V200" t="s">
        <v>537</v>
      </c>
      <c r="W200">
        <v>25</v>
      </c>
      <c r="X200" t="s">
        <v>538</v>
      </c>
    </row>
    <row r="201" spans="1:24">
      <c r="A201" t="str">
        <f>Hyperlink("https://www.diodes.com/part/view/DMHC3025LSD","DMHC3025LSD")</f>
        <v>DMHC3025LSD</v>
      </c>
      <c r="B201" t="str">
        <f>Hyperlink("https://www.diodes.com/assets/Datasheets/DMHC3025LSD.pdf","DMHC3025LSD Datasheet")</f>
        <v>DMHC3025LSD Datasheet</v>
      </c>
      <c r="C201" t="s">
        <v>539</v>
      </c>
      <c r="D201" t="s">
        <v>25</v>
      </c>
      <c r="E201" t="s">
        <v>26</v>
      </c>
      <c r="F201" t="s">
        <v>532</v>
      </c>
      <c r="G201" t="s">
        <v>28</v>
      </c>
      <c r="H201">
        <v>30</v>
      </c>
      <c r="I201">
        <v>20</v>
      </c>
      <c r="J201" t="s">
        <v>540</v>
      </c>
      <c r="L201">
        <v>1.5</v>
      </c>
      <c r="N201" t="s">
        <v>541</v>
      </c>
      <c r="O201" t="s">
        <v>542</v>
      </c>
      <c r="R201" t="s">
        <v>121</v>
      </c>
      <c r="S201" t="s">
        <v>327</v>
      </c>
      <c r="U201" t="s">
        <v>543</v>
      </c>
      <c r="V201" t="s">
        <v>544</v>
      </c>
      <c r="W201" t="s">
        <v>273</v>
      </c>
      <c r="X201" t="s">
        <v>155</v>
      </c>
    </row>
    <row r="202" spans="1:24">
      <c r="A202" t="str">
        <f>Hyperlink("https://www.diodes.com/part/view/DMHC3025LSDQ","DMHC3025LSDQ")</f>
        <v>DMHC3025LSDQ</v>
      </c>
      <c r="B202" t="str">
        <f>Hyperlink("https://www.diodes.com/assets/Datasheets/DMHC3025LSDQ.pdf","DMHC3025LSDQ Datasheet")</f>
        <v>DMHC3025LSDQ Datasheet</v>
      </c>
      <c r="C202" t="s">
        <v>539</v>
      </c>
      <c r="D202" t="s">
        <v>25</v>
      </c>
      <c r="E202" t="s">
        <v>33</v>
      </c>
      <c r="F202" t="s">
        <v>532</v>
      </c>
      <c r="G202" t="s">
        <v>28</v>
      </c>
      <c r="H202">
        <v>30</v>
      </c>
      <c r="I202">
        <v>20</v>
      </c>
      <c r="J202" t="s">
        <v>540</v>
      </c>
      <c r="L202">
        <v>1.5</v>
      </c>
      <c r="N202" t="s">
        <v>541</v>
      </c>
      <c r="O202" t="s">
        <v>542</v>
      </c>
      <c r="R202" t="s">
        <v>121</v>
      </c>
      <c r="S202" t="s">
        <v>327</v>
      </c>
      <c r="U202" t="s">
        <v>543</v>
      </c>
      <c r="V202" t="s">
        <v>544</v>
      </c>
      <c r="W202" t="s">
        <v>273</v>
      </c>
      <c r="X202" t="s">
        <v>155</v>
      </c>
    </row>
    <row r="203" spans="1:24">
      <c r="A203" t="str">
        <f>Hyperlink("https://www.diodes.com/part/view/DMHC4035LSD","DMHC4035LSD")</f>
        <v>DMHC4035LSD</v>
      </c>
      <c r="B203" t="str">
        <f>Hyperlink("https://www.diodes.com/assets/Datasheets/DMHC4035LSD.pdf","DMHC4035LSD Datasheet")</f>
        <v>DMHC4035LSD Datasheet</v>
      </c>
      <c r="C203" t="s">
        <v>545</v>
      </c>
      <c r="D203" t="s">
        <v>25</v>
      </c>
      <c r="E203" t="s">
        <v>26</v>
      </c>
      <c r="F203" t="s">
        <v>532</v>
      </c>
      <c r="G203" t="s">
        <v>28</v>
      </c>
      <c r="H203">
        <v>40</v>
      </c>
      <c r="I203">
        <v>20</v>
      </c>
      <c r="J203" t="s">
        <v>546</v>
      </c>
      <c r="L203">
        <v>1.5</v>
      </c>
      <c r="N203" t="s">
        <v>547</v>
      </c>
      <c r="O203" t="s">
        <v>548</v>
      </c>
      <c r="R203" t="s">
        <v>121</v>
      </c>
      <c r="S203" t="s">
        <v>160</v>
      </c>
      <c r="U203" t="s">
        <v>549</v>
      </c>
      <c r="V203" t="s">
        <v>550</v>
      </c>
      <c r="W203" t="s">
        <v>71</v>
      </c>
      <c r="X203" t="s">
        <v>155</v>
      </c>
    </row>
    <row r="204" spans="1:24">
      <c r="A204" t="str">
        <f>Hyperlink("https://www.diodes.com/part/view/DMHC4035LSDQ","DMHC4035LSDQ")</f>
        <v>DMHC4035LSDQ</v>
      </c>
      <c r="B204" t="str">
        <f>Hyperlink("https://www.diodes.com/assets/Datasheets/DMHC4035LSDQ.pdf","DMHC4035LSDQ Datasheet")</f>
        <v>DMHC4035LSDQ Datasheet</v>
      </c>
      <c r="C204" t="s">
        <v>545</v>
      </c>
      <c r="D204" t="s">
        <v>25</v>
      </c>
      <c r="E204" t="s">
        <v>33</v>
      </c>
      <c r="F204" t="s">
        <v>532</v>
      </c>
      <c r="G204" t="s">
        <v>28</v>
      </c>
      <c r="H204">
        <v>40</v>
      </c>
      <c r="I204">
        <v>20</v>
      </c>
      <c r="J204" t="s">
        <v>546</v>
      </c>
      <c r="L204">
        <v>1.5</v>
      </c>
      <c r="N204" t="s">
        <v>547</v>
      </c>
      <c r="O204" t="s">
        <v>548</v>
      </c>
      <c r="R204" t="s">
        <v>121</v>
      </c>
      <c r="S204" t="s">
        <v>160</v>
      </c>
      <c r="U204" t="s">
        <v>549</v>
      </c>
      <c r="V204" t="s">
        <v>550</v>
      </c>
      <c r="W204" t="s">
        <v>71</v>
      </c>
      <c r="X204" t="s">
        <v>155</v>
      </c>
    </row>
    <row r="205" spans="1:24">
      <c r="A205" t="str">
        <f>Hyperlink("https://www.diodes.com/part/view/DMHC6070LSD","DMHC6070LSD")</f>
        <v>DMHC6070LSD</v>
      </c>
      <c r="B205" t="str">
        <f>Hyperlink("https://www.diodes.com/assets/Datasheets/DMHC6070LSD.pdf","DMHC6070LSD Datasheet")</f>
        <v>DMHC6070LSD Datasheet</v>
      </c>
      <c r="C205" t="s">
        <v>551</v>
      </c>
      <c r="D205" t="s">
        <v>28</v>
      </c>
      <c r="E205" t="s">
        <v>26</v>
      </c>
      <c r="F205" t="s">
        <v>532</v>
      </c>
      <c r="G205" t="s">
        <v>28</v>
      </c>
      <c r="H205">
        <v>60</v>
      </c>
      <c r="I205">
        <v>20</v>
      </c>
      <c r="J205" t="s">
        <v>469</v>
      </c>
      <c r="L205">
        <v>1.6</v>
      </c>
      <c r="N205" t="s">
        <v>552</v>
      </c>
      <c r="O205" t="s">
        <v>471</v>
      </c>
      <c r="R205" t="s">
        <v>121</v>
      </c>
      <c r="S205" t="s">
        <v>160</v>
      </c>
      <c r="U205" t="s">
        <v>473</v>
      </c>
      <c r="V205" t="s">
        <v>553</v>
      </c>
      <c r="W205" t="s">
        <v>71</v>
      </c>
      <c r="X205" t="s">
        <v>155</v>
      </c>
    </row>
    <row r="206" spans="1:24">
      <c r="A206" t="str">
        <f>Hyperlink("https://www.diodes.com/part/view/DMHT10H032LFJ","DMHT10H032LFJ")</f>
        <v>DMHT10H032LFJ</v>
      </c>
      <c r="B206" t="str">
        <f>Hyperlink("https://www.diodes.com/assets/Datasheets/DMHT10H032LFJ.pdf","DMHT10H032LFJ Datasheet")</f>
        <v>DMHT10H032LFJ Datasheet</v>
      </c>
      <c r="C206" t="s">
        <v>554</v>
      </c>
      <c r="D206" t="s">
        <v>28</v>
      </c>
      <c r="E206" t="s">
        <v>26</v>
      </c>
      <c r="F206" t="s">
        <v>27</v>
      </c>
      <c r="G206" t="s">
        <v>28</v>
      </c>
      <c r="H206">
        <v>100</v>
      </c>
      <c r="I206">
        <v>20</v>
      </c>
      <c r="J206">
        <v>6</v>
      </c>
      <c r="L206">
        <v>1.9</v>
      </c>
      <c r="N206">
        <v>33</v>
      </c>
      <c r="O206">
        <v>50</v>
      </c>
      <c r="S206">
        <v>2.5</v>
      </c>
      <c r="T206">
        <v>6.3</v>
      </c>
      <c r="U206">
        <v>11.9</v>
      </c>
      <c r="V206">
        <v>683</v>
      </c>
      <c r="W206">
        <v>50</v>
      </c>
      <c r="X206" t="s">
        <v>538</v>
      </c>
    </row>
    <row r="207" spans="1:24">
      <c r="A207" t="str">
        <f>Hyperlink("https://www.diodes.com/part/view/DMHT3006LFJ","DMHT3006LFJ")</f>
        <v>DMHT3006LFJ</v>
      </c>
      <c r="B207" t="str">
        <f>Hyperlink("https://www.diodes.com/assets/Datasheets/DMHT3006LFJ.pdf","DMHT3006LFJ Datasheet")</f>
        <v>DMHT3006LFJ Datasheet</v>
      </c>
      <c r="C207" t="s">
        <v>555</v>
      </c>
      <c r="D207" t="s">
        <v>28</v>
      </c>
      <c r="E207" t="s">
        <v>26</v>
      </c>
      <c r="F207" t="s">
        <v>556</v>
      </c>
      <c r="G207" t="s">
        <v>28</v>
      </c>
      <c r="H207">
        <v>30</v>
      </c>
      <c r="I207">
        <v>20</v>
      </c>
      <c r="J207">
        <v>13</v>
      </c>
      <c r="L207">
        <v>2.1</v>
      </c>
      <c r="N207">
        <v>10</v>
      </c>
      <c r="O207">
        <v>15</v>
      </c>
      <c r="S207">
        <v>3</v>
      </c>
      <c r="T207">
        <v>9</v>
      </c>
      <c r="U207">
        <v>17</v>
      </c>
      <c r="V207">
        <v>1171</v>
      </c>
      <c r="W207">
        <v>15</v>
      </c>
      <c r="X207" t="s">
        <v>557</v>
      </c>
    </row>
    <row r="208" spans="1:24">
      <c r="A208" t="str">
        <f>Hyperlink("https://www.diodes.com/part/view/DMHT6016LFJ","DMHT6016LFJ")</f>
        <v>DMHT6016LFJ</v>
      </c>
      <c r="B208" t="str">
        <f>Hyperlink("https://www.diodes.com/assets/Datasheets/DMHT6016LFJ.pdf","DMHT6016LFJ Datasheet")</f>
        <v>DMHT6016LFJ Datasheet</v>
      </c>
      <c r="C208" t="s">
        <v>558</v>
      </c>
      <c r="D208" t="s">
        <v>28</v>
      </c>
      <c r="E208" t="s">
        <v>26</v>
      </c>
      <c r="F208" t="s">
        <v>556</v>
      </c>
      <c r="G208" t="s">
        <v>28</v>
      </c>
      <c r="H208">
        <v>60</v>
      </c>
      <c r="I208">
        <v>20</v>
      </c>
      <c r="J208">
        <v>10.6</v>
      </c>
      <c r="L208">
        <v>2.7</v>
      </c>
      <c r="N208">
        <v>22</v>
      </c>
      <c r="O208">
        <v>30</v>
      </c>
      <c r="S208">
        <v>3</v>
      </c>
      <c r="T208">
        <v>8.4</v>
      </c>
      <c r="U208">
        <v>17</v>
      </c>
      <c r="V208">
        <v>864</v>
      </c>
      <c r="W208">
        <v>30</v>
      </c>
      <c r="X208" t="s">
        <v>559</v>
      </c>
    </row>
    <row r="209" spans="1:24">
      <c r="A209" t="str">
        <f>Hyperlink("https://www.diodes.com/part/view/DMN1001UCA10","DMN1001UCA10")</f>
        <v>DMN1001UCA10</v>
      </c>
      <c r="B209" t="str">
        <f>Hyperlink("https://www.diodes.com/assets/Datasheets/DMN1001UCA10.pdf","DMN1001UCA10 Datasheet")</f>
        <v>DMN1001UCA10 Datasheet</v>
      </c>
      <c r="C209" t="s">
        <v>560</v>
      </c>
      <c r="D209" t="s">
        <v>28</v>
      </c>
      <c r="E209" t="s">
        <v>26</v>
      </c>
      <c r="F209" t="s">
        <v>35</v>
      </c>
      <c r="G209" t="s">
        <v>25</v>
      </c>
      <c r="H209">
        <v>12</v>
      </c>
      <c r="I209">
        <v>8</v>
      </c>
      <c r="J209">
        <v>20</v>
      </c>
      <c r="L209">
        <v>2.4</v>
      </c>
      <c r="O209">
        <v>3.55</v>
      </c>
      <c r="P209">
        <v>6.9</v>
      </c>
      <c r="R209">
        <v>0.35</v>
      </c>
      <c r="S209">
        <v>1.4</v>
      </c>
      <c r="T209" t="s">
        <v>561</v>
      </c>
      <c r="V209">
        <v>2865</v>
      </c>
      <c r="W209">
        <v>6</v>
      </c>
      <c r="X209" t="s">
        <v>562</v>
      </c>
    </row>
    <row r="210" spans="1:24">
      <c r="A210" t="str">
        <f>Hyperlink("https://www.diodes.com/part/view/DMN1002UCA6","DMN1002UCA6")</f>
        <v>DMN1002UCA6</v>
      </c>
      <c r="B210" t="str">
        <f>Hyperlink("https://www.diodes.com/assets/Datasheets/DMN1002UCA6.pdf","DMN1002UCA6 Datasheet")</f>
        <v>DMN1002UCA6 Datasheet</v>
      </c>
      <c r="C210" t="s">
        <v>560</v>
      </c>
      <c r="D210" t="s">
        <v>28</v>
      </c>
      <c r="E210" t="s">
        <v>26</v>
      </c>
      <c r="F210" t="s">
        <v>35</v>
      </c>
      <c r="G210" t="s">
        <v>25</v>
      </c>
      <c r="H210">
        <v>12</v>
      </c>
      <c r="I210">
        <v>8</v>
      </c>
      <c r="J210">
        <v>24.4</v>
      </c>
      <c r="L210">
        <v>2.47</v>
      </c>
      <c r="O210">
        <v>2.75</v>
      </c>
      <c r="P210">
        <v>6.1</v>
      </c>
      <c r="R210">
        <v>0.35</v>
      </c>
      <c r="S210">
        <v>1.4</v>
      </c>
      <c r="T210" t="s">
        <v>563</v>
      </c>
      <c r="V210">
        <v>3062</v>
      </c>
      <c r="W210">
        <v>10</v>
      </c>
      <c r="X210" t="s">
        <v>564</v>
      </c>
    </row>
    <row r="211" spans="1:24">
      <c r="A211" t="str">
        <f>Hyperlink("https://www.diodes.com/part/view/DMN1003UCA6","DMN1003UCA6")</f>
        <v>DMN1003UCA6</v>
      </c>
      <c r="B211" t="str">
        <f>Hyperlink("https://www.diodes.com/assets/Datasheets/DMN1003UCA6.pdf","DMN1003UCA6 Datasheet")</f>
        <v>DMN1003UCA6 Datasheet</v>
      </c>
      <c r="C211" t="s">
        <v>560</v>
      </c>
      <c r="D211" t="s">
        <v>28</v>
      </c>
      <c r="E211" t="s">
        <v>26</v>
      </c>
      <c r="F211" t="s">
        <v>35</v>
      </c>
      <c r="G211" t="s">
        <v>25</v>
      </c>
      <c r="H211">
        <v>12</v>
      </c>
      <c r="I211">
        <v>8</v>
      </c>
      <c r="J211">
        <v>23.6</v>
      </c>
      <c r="L211">
        <v>2.67</v>
      </c>
      <c r="O211">
        <v>3.2</v>
      </c>
      <c r="P211">
        <v>6.3</v>
      </c>
      <c r="R211">
        <v>0.5</v>
      </c>
      <c r="S211">
        <v>1.3</v>
      </c>
      <c r="T211">
        <v>56.5</v>
      </c>
      <c r="V211">
        <v>3315</v>
      </c>
      <c r="W211">
        <v>6</v>
      </c>
      <c r="X211" t="s">
        <v>565</v>
      </c>
    </row>
    <row r="212" spans="1:24">
      <c r="A212" t="str">
        <f>Hyperlink("https://www.diodes.com/part/view/DMN1003UFDE","DMN1003UFDE")</f>
        <v>DMN1003UFDE</v>
      </c>
      <c r="B212" t="str">
        <f>Hyperlink("https://www.diodes.com/assets/Datasheets/DMN1003UFDE.pdf","DMN1003UFDE Datasheet")</f>
        <v>DMN1003UFDE Datasheet</v>
      </c>
      <c r="C212" t="s">
        <v>566</v>
      </c>
      <c r="D212" t="s">
        <v>28</v>
      </c>
      <c r="E212" t="s">
        <v>26</v>
      </c>
      <c r="F212" t="s">
        <v>27</v>
      </c>
      <c r="G212" t="s">
        <v>25</v>
      </c>
      <c r="H212">
        <v>12</v>
      </c>
      <c r="I212">
        <v>8</v>
      </c>
      <c r="J212">
        <v>22</v>
      </c>
      <c r="L212">
        <v>2.2</v>
      </c>
      <c r="O212">
        <v>3</v>
      </c>
      <c r="P212">
        <v>4</v>
      </c>
      <c r="R212">
        <v>0.3</v>
      </c>
      <c r="S212">
        <v>1</v>
      </c>
      <c r="T212">
        <v>27</v>
      </c>
      <c r="V212">
        <v>2551</v>
      </c>
      <c r="W212">
        <v>6</v>
      </c>
      <c r="X212" t="s">
        <v>567</v>
      </c>
    </row>
    <row r="213" spans="1:24">
      <c r="A213" t="str">
        <f>Hyperlink("https://www.diodes.com/part/view/DMN1004UFDF","DMN1004UFDF")</f>
        <v>DMN1004UFDF</v>
      </c>
      <c r="B213" t="str">
        <f>Hyperlink("https://www.diodes.com/assets/Datasheets/DMN1004UFDF.pdf","DMN1004UFDF Datasheet")</f>
        <v>DMN1004UFDF Datasheet</v>
      </c>
      <c r="C213" t="s">
        <v>560</v>
      </c>
      <c r="D213" t="s">
        <v>28</v>
      </c>
      <c r="E213" t="s">
        <v>26</v>
      </c>
      <c r="F213" t="s">
        <v>27</v>
      </c>
      <c r="G213" t="s">
        <v>25</v>
      </c>
      <c r="H213">
        <v>12</v>
      </c>
      <c r="I213">
        <v>8</v>
      </c>
      <c r="J213">
        <v>15</v>
      </c>
      <c r="L213">
        <v>2.1</v>
      </c>
      <c r="O213">
        <v>4.8</v>
      </c>
      <c r="P213">
        <v>7</v>
      </c>
      <c r="R213">
        <v>0.3</v>
      </c>
      <c r="S213">
        <v>1</v>
      </c>
      <c r="T213">
        <v>26</v>
      </c>
      <c r="U213">
        <v>47</v>
      </c>
      <c r="V213">
        <v>2385</v>
      </c>
      <c r="W213">
        <v>6</v>
      </c>
      <c r="X213" t="s">
        <v>568</v>
      </c>
    </row>
    <row r="214" spans="1:24">
      <c r="A214" t="str">
        <f>Hyperlink("https://www.diodes.com/part/view/DMN1004UFV","DMN1004UFV")</f>
        <v>DMN1004UFV</v>
      </c>
      <c r="B214" t="str">
        <f>Hyperlink("https://www.diodes.com/assets/Datasheets/DMN1004UFV.pdf","DMN1004UFV Datasheet")</f>
        <v>DMN1004UFV Datasheet</v>
      </c>
      <c r="C214" t="s">
        <v>560</v>
      </c>
      <c r="D214" t="s">
        <v>28</v>
      </c>
      <c r="E214" t="s">
        <v>26</v>
      </c>
      <c r="F214" t="s">
        <v>27</v>
      </c>
      <c r="G214" t="s">
        <v>25</v>
      </c>
      <c r="H214">
        <v>12</v>
      </c>
      <c r="I214">
        <v>8</v>
      </c>
      <c r="K214">
        <v>70</v>
      </c>
      <c r="L214">
        <v>1.9</v>
      </c>
      <c r="O214">
        <v>3.8</v>
      </c>
      <c r="P214">
        <v>5.1</v>
      </c>
      <c r="R214">
        <v>0.3</v>
      </c>
      <c r="S214">
        <v>1</v>
      </c>
      <c r="T214">
        <v>26</v>
      </c>
      <c r="U214" t="s">
        <v>569</v>
      </c>
      <c r="V214">
        <v>2385</v>
      </c>
      <c r="W214">
        <v>6</v>
      </c>
      <c r="X214" t="s">
        <v>570</v>
      </c>
    </row>
    <row r="215" spans="1:24">
      <c r="A215" t="str">
        <f>Hyperlink("https://www.diodes.com/part/view/DMN1006UCA6","DMN1006UCA6")</f>
        <v>DMN1006UCA6</v>
      </c>
      <c r="B215" t="str">
        <f>Hyperlink("https://www.diodes.com/assets/Datasheets/DMN1006UCA6.pdf","DMN1006UCA6 Datasheet")</f>
        <v>DMN1006UCA6 Datasheet</v>
      </c>
      <c r="C215" t="s">
        <v>560</v>
      </c>
      <c r="D215" t="s">
        <v>28</v>
      </c>
      <c r="E215" t="s">
        <v>26</v>
      </c>
      <c r="F215" t="s">
        <v>35</v>
      </c>
      <c r="G215" t="s">
        <v>25</v>
      </c>
      <c r="H215">
        <v>12</v>
      </c>
      <c r="I215">
        <v>12</v>
      </c>
      <c r="J215">
        <v>16.6</v>
      </c>
      <c r="L215">
        <v>2.4</v>
      </c>
      <c r="O215">
        <v>5.9</v>
      </c>
      <c r="P215">
        <v>9</v>
      </c>
      <c r="R215">
        <v>0.5</v>
      </c>
      <c r="S215">
        <v>1.3</v>
      </c>
      <c r="T215">
        <v>35.2</v>
      </c>
      <c r="V215">
        <v>2360</v>
      </c>
      <c r="W215">
        <v>6</v>
      </c>
      <c r="X215" t="s">
        <v>571</v>
      </c>
    </row>
    <row r="216" spans="1:24">
      <c r="A216" t="str">
        <f>Hyperlink("https://www.diodes.com/part/view/DMN1008UFDF","DMN1008UFDF")</f>
        <v>DMN1008UFDF</v>
      </c>
      <c r="B216" t="str">
        <f>Hyperlink("https://www.diodes.com/assets/Datasheets/DMN1008UFDF.pdf","DMN1008UFDF Datasheet")</f>
        <v>DMN1008UFDF Datasheet</v>
      </c>
      <c r="C216" t="s">
        <v>560</v>
      </c>
      <c r="D216" t="s">
        <v>28</v>
      </c>
      <c r="E216" t="s">
        <v>26</v>
      </c>
      <c r="F216" t="s">
        <v>27</v>
      </c>
      <c r="G216" t="s">
        <v>28</v>
      </c>
      <c r="H216">
        <v>12</v>
      </c>
      <c r="I216">
        <v>8</v>
      </c>
      <c r="J216">
        <v>12.2</v>
      </c>
      <c r="L216">
        <v>1.7</v>
      </c>
      <c r="O216">
        <v>8</v>
      </c>
      <c r="P216">
        <v>12.5</v>
      </c>
      <c r="R216">
        <v>0.3</v>
      </c>
      <c r="S216">
        <v>1</v>
      </c>
      <c r="T216">
        <v>13.6</v>
      </c>
      <c r="U216" t="s">
        <v>572</v>
      </c>
      <c r="V216">
        <v>995</v>
      </c>
      <c r="W216">
        <v>6</v>
      </c>
      <c r="X216" t="s">
        <v>568</v>
      </c>
    </row>
    <row r="217" spans="1:24">
      <c r="A217" t="str">
        <f>Hyperlink("https://www.diodes.com/part/view/DMN1008UFDFQ","DMN1008UFDFQ")</f>
        <v>DMN1008UFDFQ</v>
      </c>
      <c r="B217" t="str">
        <f>Hyperlink("https://www.diodes.com/assets/Datasheets/DMN1008UFDFQ.pdf","DMN1008UFDFQ Datasheet")</f>
        <v>DMN1008UFDFQ Datasheet</v>
      </c>
      <c r="C217" t="s">
        <v>560</v>
      </c>
      <c r="D217" t="s">
        <v>25</v>
      </c>
      <c r="E217" t="s">
        <v>33</v>
      </c>
      <c r="F217" t="s">
        <v>27</v>
      </c>
      <c r="G217" t="s">
        <v>28</v>
      </c>
      <c r="H217">
        <v>12</v>
      </c>
      <c r="I217">
        <v>8</v>
      </c>
      <c r="J217">
        <v>12.2</v>
      </c>
      <c r="L217">
        <v>1.7</v>
      </c>
      <c r="O217">
        <v>8</v>
      </c>
      <c r="P217">
        <v>12.5</v>
      </c>
      <c r="S217">
        <v>1</v>
      </c>
      <c r="T217">
        <v>8</v>
      </c>
      <c r="V217">
        <v>995</v>
      </c>
      <c r="W217">
        <v>6</v>
      </c>
      <c r="X217" t="s">
        <v>568</v>
      </c>
    </row>
    <row r="218" spans="1:24">
      <c r="A218" t="str">
        <f>Hyperlink("https://www.diodes.com/part/view/DMN1014UFDF","DMN1014UFDF")</f>
        <v>DMN1014UFDF</v>
      </c>
      <c r="B218" t="str">
        <f>Hyperlink("https://www.diodes.com/assets/Datasheets/DMN1014UFDF.pdf","DMN1014UFDF Datasheet")</f>
        <v>DMN1014UFDF Datasheet</v>
      </c>
      <c r="C218" t="s">
        <v>560</v>
      </c>
      <c r="D218" t="s">
        <v>28</v>
      </c>
      <c r="E218" t="s">
        <v>26</v>
      </c>
      <c r="F218" t="s">
        <v>27</v>
      </c>
      <c r="G218" t="s">
        <v>28</v>
      </c>
      <c r="H218">
        <v>12</v>
      </c>
      <c r="I218">
        <v>8</v>
      </c>
      <c r="J218">
        <v>8</v>
      </c>
      <c r="L218">
        <v>1.7</v>
      </c>
      <c r="O218">
        <v>16</v>
      </c>
      <c r="P218">
        <v>25</v>
      </c>
      <c r="S218">
        <v>1</v>
      </c>
      <c r="T218">
        <v>6.4</v>
      </c>
      <c r="V218">
        <v>515</v>
      </c>
      <c r="X218" t="s">
        <v>568</v>
      </c>
    </row>
    <row r="219" spans="1:24">
      <c r="A219" t="str">
        <f>Hyperlink("https://www.diodes.com/part/view/DMN1017UCP3","DMN1017UCP3")</f>
        <v>DMN1017UCP3</v>
      </c>
      <c r="B219" t="str">
        <f>Hyperlink("https://www.diodes.com/assets/Datasheets/DMN1017UCP3.pdf","DMN1017UCP3 Datasheet")</f>
        <v>DMN1017UCP3 Datasheet</v>
      </c>
      <c r="C219" t="s">
        <v>560</v>
      </c>
      <c r="D219" t="s">
        <v>28</v>
      </c>
      <c r="E219" t="s">
        <v>26</v>
      </c>
      <c r="F219" t="s">
        <v>27</v>
      </c>
      <c r="G219" t="s">
        <v>28</v>
      </c>
      <c r="H219">
        <v>12</v>
      </c>
      <c r="I219">
        <v>8</v>
      </c>
      <c r="J219">
        <v>7.5</v>
      </c>
      <c r="L219">
        <v>1.47</v>
      </c>
      <c r="P219">
        <v>21</v>
      </c>
      <c r="Q219">
        <v>30</v>
      </c>
      <c r="R219">
        <v>0.4</v>
      </c>
      <c r="S219">
        <v>1</v>
      </c>
      <c r="T219" t="s">
        <v>573</v>
      </c>
      <c r="V219">
        <v>1002</v>
      </c>
      <c r="W219">
        <v>6</v>
      </c>
      <c r="X219" t="s">
        <v>574</v>
      </c>
    </row>
    <row r="220" spans="1:24">
      <c r="A220" t="str">
        <f>Hyperlink("https://www.diodes.com/part/view/DMN1019UFDE","DMN1019UFDE")</f>
        <v>DMN1019UFDE</v>
      </c>
      <c r="B220" t="str">
        <f>Hyperlink("https://www.diodes.com/assets/Datasheets/DMN1019UFDE.pdf","DMN1019UFDE Datasheet")</f>
        <v>DMN1019UFDE Datasheet</v>
      </c>
      <c r="C220" t="s">
        <v>496</v>
      </c>
      <c r="D220" t="s">
        <v>25</v>
      </c>
      <c r="E220" t="s">
        <v>26</v>
      </c>
      <c r="F220" t="s">
        <v>27</v>
      </c>
      <c r="G220" t="s">
        <v>25</v>
      </c>
      <c r="H220">
        <v>12</v>
      </c>
      <c r="I220">
        <v>8</v>
      </c>
      <c r="J220">
        <v>11</v>
      </c>
      <c r="L220">
        <v>2.17</v>
      </c>
      <c r="O220">
        <v>10</v>
      </c>
      <c r="P220">
        <v>12</v>
      </c>
      <c r="Q220">
        <v>14</v>
      </c>
      <c r="R220">
        <v>0.35</v>
      </c>
      <c r="S220">
        <v>0.8</v>
      </c>
      <c r="T220">
        <v>27.3</v>
      </c>
      <c r="U220" t="s">
        <v>575</v>
      </c>
      <c r="V220">
        <v>2480</v>
      </c>
      <c r="X220" t="s">
        <v>567</v>
      </c>
    </row>
    <row r="221" spans="1:24">
      <c r="A221" t="str">
        <f>Hyperlink("https://www.diodes.com/part/view/DMN1019USN","DMN1019USN")</f>
        <v>DMN1019USN</v>
      </c>
      <c r="B221" t="str">
        <f>Hyperlink("https://www.diodes.com/assets/Datasheets/DMN1019USN.pdf","DMN1019USN Datasheet")</f>
        <v>DMN1019USN Datasheet</v>
      </c>
      <c r="C221" t="s">
        <v>496</v>
      </c>
      <c r="D221" t="s">
        <v>25</v>
      </c>
      <c r="E221" t="s">
        <v>26</v>
      </c>
      <c r="F221" t="s">
        <v>27</v>
      </c>
      <c r="G221" t="s">
        <v>25</v>
      </c>
      <c r="H221">
        <v>12</v>
      </c>
      <c r="I221">
        <v>8</v>
      </c>
      <c r="J221">
        <v>9.3</v>
      </c>
      <c r="L221">
        <v>1.2</v>
      </c>
      <c r="O221">
        <v>10</v>
      </c>
      <c r="P221">
        <v>12</v>
      </c>
      <c r="Q221">
        <v>14</v>
      </c>
      <c r="R221">
        <v>0.35</v>
      </c>
      <c r="S221">
        <v>0.8</v>
      </c>
      <c r="T221">
        <v>27.3</v>
      </c>
      <c r="U221" t="s">
        <v>575</v>
      </c>
      <c r="V221">
        <v>2480</v>
      </c>
      <c r="X221" t="s">
        <v>63</v>
      </c>
    </row>
    <row r="222" spans="1:24">
      <c r="A222" t="str">
        <f>Hyperlink("https://www.diodes.com/part/view/DMN1019USNQ","DMN1019USNQ")</f>
        <v>DMN1019USNQ</v>
      </c>
      <c r="B222" t="str">
        <f>Hyperlink("https://www.diodes.com/assets/Datasheets/DMN1019USNQ.pdf","DMN1019USNQ Datasheet")</f>
        <v>DMN1019USNQ Datasheet</v>
      </c>
      <c r="C222" t="s">
        <v>560</v>
      </c>
      <c r="D222" t="s">
        <v>25</v>
      </c>
      <c r="E222" t="s">
        <v>33</v>
      </c>
      <c r="F222" t="s">
        <v>27</v>
      </c>
      <c r="G222" t="s">
        <v>25</v>
      </c>
      <c r="H222">
        <v>12</v>
      </c>
      <c r="I222">
        <v>8</v>
      </c>
      <c r="J222">
        <v>9.3</v>
      </c>
      <c r="L222">
        <v>1.2</v>
      </c>
      <c r="O222">
        <v>10</v>
      </c>
      <c r="P222">
        <v>12</v>
      </c>
      <c r="Q222">
        <v>14</v>
      </c>
      <c r="R222">
        <v>0.35</v>
      </c>
      <c r="S222">
        <v>0.8</v>
      </c>
      <c r="T222">
        <v>27.3</v>
      </c>
      <c r="U222" t="s">
        <v>575</v>
      </c>
      <c r="V222">
        <v>2480</v>
      </c>
      <c r="X222" t="s">
        <v>63</v>
      </c>
    </row>
    <row r="223" spans="1:24">
      <c r="A223" t="str">
        <f>Hyperlink("https://www.diodes.com/part/view/DMN1019UVT","DMN1019UVT")</f>
        <v>DMN1019UVT</v>
      </c>
      <c r="B223" t="str">
        <f>Hyperlink("https://www.diodes.com/assets/Datasheets/DMN1019UVT.pdf","DMN1019UVT Datasheet")</f>
        <v>DMN1019UVT Datasheet</v>
      </c>
      <c r="C223" t="s">
        <v>496</v>
      </c>
      <c r="D223" t="s">
        <v>25</v>
      </c>
      <c r="E223" t="s">
        <v>26</v>
      </c>
      <c r="F223" t="s">
        <v>27</v>
      </c>
      <c r="G223" t="s">
        <v>25</v>
      </c>
      <c r="H223">
        <v>12</v>
      </c>
      <c r="I223">
        <v>8</v>
      </c>
      <c r="J223">
        <v>10.7</v>
      </c>
      <c r="L223">
        <v>1.73</v>
      </c>
      <c r="O223">
        <v>10</v>
      </c>
      <c r="P223">
        <v>12</v>
      </c>
      <c r="Q223">
        <v>14</v>
      </c>
      <c r="S223">
        <v>0.8</v>
      </c>
      <c r="T223">
        <v>28</v>
      </c>
      <c r="U223" t="s">
        <v>576</v>
      </c>
      <c r="V223">
        <v>2588</v>
      </c>
      <c r="X223" t="s">
        <v>128</v>
      </c>
    </row>
    <row r="224" spans="1:24">
      <c r="A224" t="str">
        <f>Hyperlink("https://www.diodes.com/part/view/DMN1021UCA4","DMN1021UCA4")</f>
        <v>DMN1021UCA4</v>
      </c>
      <c r="B224" t="str">
        <f>Hyperlink("https://www.diodes.com/assets/Datasheets/DMN1021UCA4.pdf","DMN1021UCA4 Datasheet")</f>
        <v>DMN1021UCA4 Datasheet</v>
      </c>
      <c r="C224" t="s">
        <v>24</v>
      </c>
      <c r="D224" t="s">
        <v>28</v>
      </c>
      <c r="E224" t="s">
        <v>26</v>
      </c>
      <c r="F224" t="s">
        <v>27</v>
      </c>
      <c r="G224" t="s">
        <v>28</v>
      </c>
      <c r="H224">
        <v>12</v>
      </c>
      <c r="I224">
        <v>8</v>
      </c>
      <c r="J224">
        <v>7.4</v>
      </c>
      <c r="L224">
        <v>1.8</v>
      </c>
      <c r="O224">
        <v>21</v>
      </c>
      <c r="P224">
        <v>28</v>
      </c>
      <c r="Q224">
        <v>43</v>
      </c>
      <c r="R224">
        <v>0.3</v>
      </c>
      <c r="S224">
        <v>1.2</v>
      </c>
      <c r="V224">
        <v>409</v>
      </c>
      <c r="W224">
        <v>10</v>
      </c>
      <c r="X224" t="s">
        <v>577</v>
      </c>
    </row>
    <row r="225" spans="1:24">
      <c r="A225" t="str">
        <f>Hyperlink("https://www.diodes.com/part/view/DMN1025UFDB","DMN1025UFDB")</f>
        <v>DMN1025UFDB</v>
      </c>
      <c r="B225" t="str">
        <f>Hyperlink("https://www.diodes.com/assets/Datasheets/DMN1025UFDB.pdf","DMN1025UFDB Datasheet")</f>
        <v>DMN1025UFDB Datasheet</v>
      </c>
      <c r="C225" t="s">
        <v>496</v>
      </c>
      <c r="D225" t="s">
        <v>25</v>
      </c>
      <c r="E225" t="s">
        <v>26</v>
      </c>
      <c r="F225" t="s">
        <v>35</v>
      </c>
      <c r="G225" t="s">
        <v>25</v>
      </c>
      <c r="H225">
        <v>12</v>
      </c>
      <c r="I225">
        <v>10</v>
      </c>
      <c r="J225">
        <v>6.9</v>
      </c>
      <c r="L225">
        <v>1.7</v>
      </c>
      <c r="O225">
        <v>25</v>
      </c>
      <c r="P225">
        <v>30</v>
      </c>
      <c r="Q225">
        <v>38</v>
      </c>
      <c r="R225">
        <v>0.4</v>
      </c>
      <c r="S225">
        <v>1</v>
      </c>
      <c r="T225">
        <v>12.6</v>
      </c>
      <c r="U225" t="s">
        <v>578</v>
      </c>
      <c r="V225">
        <v>917</v>
      </c>
      <c r="X225" t="s">
        <v>125</v>
      </c>
    </row>
    <row r="226" spans="1:24">
      <c r="A226" t="str">
        <f>Hyperlink("https://www.diodes.com/part/view/DMN1029UFDB","DMN1029UFDB")</f>
        <v>DMN1029UFDB</v>
      </c>
      <c r="B226" t="str">
        <f>Hyperlink("https://www.diodes.com/assets/Datasheets/DMN1029UFDB.pdf","DMN1029UFDB Datasheet")</f>
        <v>DMN1029UFDB Datasheet</v>
      </c>
      <c r="C226" t="s">
        <v>496</v>
      </c>
      <c r="D226" t="s">
        <v>28</v>
      </c>
      <c r="E226" t="s">
        <v>26</v>
      </c>
      <c r="F226" t="s">
        <v>35</v>
      </c>
      <c r="G226" t="s">
        <v>28</v>
      </c>
      <c r="H226">
        <v>12</v>
      </c>
      <c r="I226">
        <v>8</v>
      </c>
      <c r="J226">
        <v>5.6</v>
      </c>
      <c r="L226">
        <v>1.4</v>
      </c>
      <c r="O226">
        <v>29</v>
      </c>
      <c r="P226">
        <v>34</v>
      </c>
      <c r="Q226">
        <v>44</v>
      </c>
      <c r="R226">
        <v>0.4</v>
      </c>
      <c r="S226">
        <v>1</v>
      </c>
      <c r="T226">
        <v>10.5</v>
      </c>
      <c r="U226" t="s">
        <v>579</v>
      </c>
      <c r="V226">
        <v>914</v>
      </c>
      <c r="X226" t="s">
        <v>125</v>
      </c>
    </row>
    <row r="227" spans="1:24">
      <c r="A227" t="str">
        <f>Hyperlink("https://www.diodes.com/part/view/DMN1032UCP4","DMN1032UCP4")</f>
        <v>DMN1032UCP4</v>
      </c>
      <c r="B227" t="str">
        <f>Hyperlink("https://www.diodes.com/assets/Datasheets/DMN1032UCP4.pdf","DMN1032UCP4 Datasheet")</f>
        <v>DMN1032UCP4 Datasheet</v>
      </c>
      <c r="C227" t="s">
        <v>24</v>
      </c>
      <c r="D227" t="s">
        <v>28</v>
      </c>
      <c r="E227" t="s">
        <v>26</v>
      </c>
      <c r="F227" t="s">
        <v>27</v>
      </c>
      <c r="G227" t="s">
        <v>28</v>
      </c>
      <c r="H227">
        <v>12</v>
      </c>
      <c r="I227">
        <v>8</v>
      </c>
      <c r="J227">
        <v>5</v>
      </c>
      <c r="L227">
        <v>1.01</v>
      </c>
      <c r="O227">
        <v>28</v>
      </c>
      <c r="P227">
        <v>32</v>
      </c>
      <c r="Q227">
        <v>42</v>
      </c>
      <c r="R227">
        <v>0.4</v>
      </c>
      <c r="S227">
        <v>1.2</v>
      </c>
      <c r="T227">
        <v>3.2</v>
      </c>
      <c r="V227">
        <v>325</v>
      </c>
      <c r="W227">
        <v>6</v>
      </c>
      <c r="X227" t="s">
        <v>580</v>
      </c>
    </row>
    <row r="228" spans="1:24">
      <c r="A228" t="str">
        <f>Hyperlink("https://www.diodes.com/part/view/DMN1045UFR4","DMN1045UFR4")</f>
        <v>DMN1045UFR4</v>
      </c>
      <c r="B228" t="str">
        <f>Hyperlink("https://www.diodes.com/assets/Datasheets/DMN1045UFR4.pdf","DMN1045UFR4 Datasheet")</f>
        <v>DMN1045UFR4 Datasheet</v>
      </c>
      <c r="C228" t="s">
        <v>496</v>
      </c>
      <c r="D228" t="s">
        <v>25</v>
      </c>
      <c r="E228" t="s">
        <v>26</v>
      </c>
      <c r="F228" t="s">
        <v>27</v>
      </c>
      <c r="G228" t="s">
        <v>25</v>
      </c>
      <c r="H228">
        <v>12</v>
      </c>
      <c r="I228">
        <v>8</v>
      </c>
      <c r="J228">
        <v>3.2</v>
      </c>
      <c r="L228">
        <v>0.5</v>
      </c>
      <c r="O228">
        <v>45</v>
      </c>
      <c r="P228">
        <v>64</v>
      </c>
      <c r="Q228">
        <v>85</v>
      </c>
      <c r="R228">
        <v>0.4</v>
      </c>
      <c r="S228">
        <v>1</v>
      </c>
      <c r="T228">
        <v>4.8</v>
      </c>
      <c r="V228">
        <v>390</v>
      </c>
      <c r="X228" t="s">
        <v>581</v>
      </c>
    </row>
    <row r="229" spans="1:24">
      <c r="A229" t="str">
        <f>Hyperlink("https://www.diodes.com/part/view/DMN1053UCP4","DMN1053UCP4")</f>
        <v>DMN1053UCP4</v>
      </c>
      <c r="B229" t="str">
        <f>Hyperlink("https://www.diodes.com/assets/Datasheets/DMN1053UCP4.pdf","DMN1053UCP4 Datasheet")</f>
        <v>DMN1053UCP4 Datasheet</v>
      </c>
      <c r="C229" t="s">
        <v>24</v>
      </c>
      <c r="D229" t="s">
        <v>28</v>
      </c>
      <c r="E229" t="s">
        <v>26</v>
      </c>
      <c r="F229" t="s">
        <v>27</v>
      </c>
      <c r="G229" t="s">
        <v>28</v>
      </c>
      <c r="H229">
        <v>12</v>
      </c>
      <c r="I229">
        <v>8</v>
      </c>
      <c r="J229">
        <v>4</v>
      </c>
      <c r="L229">
        <v>1.34</v>
      </c>
      <c r="O229">
        <v>42</v>
      </c>
      <c r="P229">
        <v>50</v>
      </c>
      <c r="Q229">
        <v>65</v>
      </c>
      <c r="S229">
        <v>0.7</v>
      </c>
      <c r="T229">
        <v>7.2</v>
      </c>
      <c r="V229">
        <v>612</v>
      </c>
      <c r="X229" t="s">
        <v>582</v>
      </c>
    </row>
    <row r="230" spans="1:24">
      <c r="A230" t="str">
        <f>Hyperlink("https://www.diodes.com/part/view/DMN1054UCB4","DMN1054UCB4")</f>
        <v>DMN1054UCB4</v>
      </c>
      <c r="B230" t="str">
        <f>Hyperlink("https://www.diodes.com/assets/Datasheets/DMN1054UCB4.pdf","DMN1054UCB4 Datasheet")</f>
        <v>DMN1054UCB4 Datasheet</v>
      </c>
      <c r="C230" t="s">
        <v>24</v>
      </c>
      <c r="D230" t="s">
        <v>28</v>
      </c>
      <c r="E230" t="s">
        <v>26</v>
      </c>
      <c r="F230" t="s">
        <v>27</v>
      </c>
      <c r="G230" t="s">
        <v>28</v>
      </c>
      <c r="H230">
        <v>8</v>
      </c>
      <c r="I230">
        <v>5</v>
      </c>
      <c r="J230">
        <v>4</v>
      </c>
      <c r="L230">
        <v>1.34</v>
      </c>
      <c r="O230">
        <v>42</v>
      </c>
      <c r="P230">
        <v>50</v>
      </c>
      <c r="Q230">
        <v>65</v>
      </c>
      <c r="S230">
        <v>0.7</v>
      </c>
      <c r="T230">
        <v>9.6</v>
      </c>
      <c r="V230">
        <v>590</v>
      </c>
      <c r="W230">
        <v>6</v>
      </c>
      <c r="X230" t="s">
        <v>583</v>
      </c>
    </row>
    <row r="231" spans="1:24">
      <c r="A231" t="str">
        <f>Hyperlink("https://www.diodes.com/part/view/DMN10H099SFG","DMN10H099SFG")</f>
        <v>DMN10H099SFG</v>
      </c>
      <c r="B231" t="str">
        <f>Hyperlink("https://www.diodes.com/assets/Datasheets/DMN10H099SFG.pdf","DMN10H099SFG Datasheet")</f>
        <v>DMN10H099SFG Datasheet</v>
      </c>
      <c r="C231" t="s">
        <v>554</v>
      </c>
      <c r="D231" t="s">
        <v>25</v>
      </c>
      <c r="E231" t="s">
        <v>26</v>
      </c>
      <c r="F231" t="s">
        <v>27</v>
      </c>
      <c r="G231" t="s">
        <v>28</v>
      </c>
      <c r="H231">
        <v>100</v>
      </c>
      <c r="I231">
        <v>20</v>
      </c>
      <c r="J231">
        <v>4.2</v>
      </c>
      <c r="L231">
        <v>2.31</v>
      </c>
      <c r="N231">
        <v>80</v>
      </c>
      <c r="O231" t="s">
        <v>584</v>
      </c>
      <c r="S231">
        <v>3</v>
      </c>
      <c r="T231">
        <v>12.2</v>
      </c>
      <c r="U231">
        <v>25.2</v>
      </c>
      <c r="V231">
        <v>1127</v>
      </c>
      <c r="X231" t="s">
        <v>529</v>
      </c>
    </row>
    <row r="232" spans="1:24">
      <c r="A232" t="str">
        <f>Hyperlink("https://www.diodes.com/part/view/DMN10H099SK3","DMN10H099SK3")</f>
        <v>DMN10H099SK3</v>
      </c>
      <c r="B232" t="str">
        <f>Hyperlink("https://www.diodes.com/assets/Datasheets/DMN10H099SK3.pdf","DMN10H099SK3 Datasheet")</f>
        <v>DMN10H099SK3 Datasheet</v>
      </c>
      <c r="C232" t="s">
        <v>24</v>
      </c>
      <c r="D232" t="s">
        <v>25</v>
      </c>
      <c r="E232" t="s">
        <v>26</v>
      </c>
      <c r="F232" t="s">
        <v>27</v>
      </c>
      <c r="G232" t="s">
        <v>28</v>
      </c>
      <c r="H232">
        <v>100</v>
      </c>
      <c r="I232">
        <v>20</v>
      </c>
      <c r="K232">
        <v>17</v>
      </c>
      <c r="L232">
        <v>2.45</v>
      </c>
      <c r="M232">
        <v>34</v>
      </c>
      <c r="N232">
        <v>80</v>
      </c>
      <c r="O232" t="s">
        <v>584</v>
      </c>
      <c r="R232">
        <v>1.5</v>
      </c>
      <c r="S232">
        <v>3</v>
      </c>
      <c r="T232">
        <v>12.2</v>
      </c>
      <c r="U232">
        <v>25.2</v>
      </c>
      <c r="V232">
        <v>1172</v>
      </c>
      <c r="W232">
        <v>25</v>
      </c>
      <c r="X232" t="s">
        <v>507</v>
      </c>
    </row>
    <row r="233" spans="1:24">
      <c r="A233" t="str">
        <f>Hyperlink("https://www.diodes.com/part/view/DMN10H100SK3","DMN10H100SK3")</f>
        <v>DMN10H100SK3</v>
      </c>
      <c r="B233" t="str">
        <f>Hyperlink("https://www.diodes.com/assets/Datasheets/DMN10H100SK3.pdf","DMN10H100SK3 Datasheet")</f>
        <v>DMN10H100SK3 Datasheet</v>
      </c>
      <c r="C233" t="s">
        <v>554</v>
      </c>
      <c r="D233" t="s">
        <v>28</v>
      </c>
      <c r="E233" t="s">
        <v>26</v>
      </c>
      <c r="F233" t="s">
        <v>27</v>
      </c>
      <c r="G233" t="s">
        <v>28</v>
      </c>
      <c r="H233">
        <v>100</v>
      </c>
      <c r="I233">
        <v>20</v>
      </c>
      <c r="K233">
        <v>18</v>
      </c>
      <c r="L233">
        <v>2.7</v>
      </c>
      <c r="M233">
        <v>37</v>
      </c>
      <c r="N233">
        <v>80</v>
      </c>
      <c r="O233">
        <v>100</v>
      </c>
      <c r="S233">
        <v>3</v>
      </c>
      <c r="T233">
        <v>12.2</v>
      </c>
      <c r="U233">
        <v>25.2</v>
      </c>
      <c r="V233">
        <v>1172</v>
      </c>
      <c r="W233">
        <v>50</v>
      </c>
      <c r="X233" t="s">
        <v>507</v>
      </c>
    </row>
    <row r="234" spans="1:24">
      <c r="A234" t="str">
        <f>Hyperlink("https://www.diodes.com/part/view/DMN10H120SE","DMN10H120SE")</f>
        <v>DMN10H120SE</v>
      </c>
      <c r="B234" t="str">
        <f>Hyperlink("https://www.diodes.com/assets/Datasheets/DMN10H120SE.pdf","DMN10H120SE Datasheet")</f>
        <v>DMN10H120SE Datasheet</v>
      </c>
      <c r="C234" t="s">
        <v>24</v>
      </c>
      <c r="D234" t="s">
        <v>25</v>
      </c>
      <c r="E234" t="s">
        <v>26</v>
      </c>
      <c r="F234" t="s">
        <v>27</v>
      </c>
      <c r="G234" t="s">
        <v>28</v>
      </c>
      <c r="H234">
        <v>100</v>
      </c>
      <c r="I234">
        <v>20</v>
      </c>
      <c r="J234">
        <v>3.6</v>
      </c>
      <c r="L234">
        <v>2.1</v>
      </c>
      <c r="N234">
        <v>110</v>
      </c>
      <c r="O234" t="s">
        <v>585</v>
      </c>
      <c r="S234">
        <v>3</v>
      </c>
      <c r="T234">
        <v>5.2</v>
      </c>
      <c r="U234">
        <v>10</v>
      </c>
      <c r="V234">
        <v>549</v>
      </c>
      <c r="W234">
        <v>50</v>
      </c>
      <c r="X234" t="s">
        <v>586</v>
      </c>
    </row>
    <row r="235" spans="1:24">
      <c r="A235" t="str">
        <f>Hyperlink("https://www.diodes.com/part/view/DMN10H120SFG","DMN10H120SFG")</f>
        <v>DMN10H120SFG</v>
      </c>
      <c r="B235" t="str">
        <f>Hyperlink("https://www.diodes.com/assets/Datasheets/DMN10H120SFG.pdf","DMN10H120SFG Datasheet")</f>
        <v>DMN10H120SFG Datasheet</v>
      </c>
      <c r="C235" t="s">
        <v>554</v>
      </c>
      <c r="D235" t="s">
        <v>25</v>
      </c>
      <c r="E235" t="s">
        <v>26</v>
      </c>
      <c r="F235" t="s">
        <v>27</v>
      </c>
      <c r="G235" t="s">
        <v>28</v>
      </c>
      <c r="H235">
        <v>100</v>
      </c>
      <c r="I235">
        <v>20</v>
      </c>
      <c r="J235">
        <v>3.8</v>
      </c>
      <c r="L235">
        <v>2.4</v>
      </c>
      <c r="N235">
        <v>110</v>
      </c>
      <c r="O235" t="s">
        <v>585</v>
      </c>
      <c r="S235">
        <v>3</v>
      </c>
      <c r="T235">
        <v>5.2</v>
      </c>
      <c r="U235">
        <v>10.6</v>
      </c>
      <c r="V235">
        <v>549</v>
      </c>
      <c r="X235" t="s">
        <v>529</v>
      </c>
    </row>
    <row r="236" spans="1:24">
      <c r="A236" t="str">
        <f>Hyperlink("https://www.diodes.com/part/view/DMN10H170SFDE","DMN10H170SFDE")</f>
        <v>DMN10H170SFDE</v>
      </c>
      <c r="B236" t="str">
        <f>Hyperlink("https://www.diodes.com/assets/Datasheets/DMN10H170SFDE.pdf","DMN10H170SFDE Datasheet")</f>
        <v>DMN10H170SFDE Datasheet</v>
      </c>
      <c r="C236" t="s">
        <v>24</v>
      </c>
      <c r="D236" t="s">
        <v>25</v>
      </c>
      <c r="E236" t="s">
        <v>26</v>
      </c>
      <c r="F236" t="s">
        <v>27</v>
      </c>
      <c r="G236" t="s">
        <v>28</v>
      </c>
      <c r="H236">
        <v>100</v>
      </c>
      <c r="I236">
        <v>20</v>
      </c>
      <c r="J236">
        <v>2.9</v>
      </c>
      <c r="L236">
        <v>2</v>
      </c>
      <c r="N236">
        <v>160</v>
      </c>
      <c r="O236">
        <v>200</v>
      </c>
      <c r="S236">
        <v>3</v>
      </c>
      <c r="T236">
        <v>4.9</v>
      </c>
      <c r="U236">
        <v>9.7</v>
      </c>
      <c r="V236">
        <v>1167</v>
      </c>
      <c r="W236">
        <v>25</v>
      </c>
      <c r="X236" t="s">
        <v>567</v>
      </c>
    </row>
    <row r="237" spans="1:24">
      <c r="A237" t="str">
        <f>Hyperlink("https://www.diodes.com/part/view/DMN10H170SFG","DMN10H170SFG")</f>
        <v>DMN10H170SFG</v>
      </c>
      <c r="B237" t="str">
        <f>Hyperlink("https://www.diodes.com/assets/Datasheets/DMN10H170SFG.pdf","DMN10H170SFG Datasheet")</f>
        <v>DMN10H170SFG Datasheet</v>
      </c>
      <c r="C237" t="s">
        <v>24</v>
      </c>
      <c r="D237" t="s">
        <v>25</v>
      </c>
      <c r="E237" t="s">
        <v>26</v>
      </c>
      <c r="F237" t="s">
        <v>27</v>
      </c>
      <c r="G237" t="s">
        <v>28</v>
      </c>
      <c r="H237">
        <v>100</v>
      </c>
      <c r="I237">
        <v>20</v>
      </c>
      <c r="J237">
        <v>2.9</v>
      </c>
      <c r="L237">
        <v>2</v>
      </c>
      <c r="N237">
        <v>122</v>
      </c>
      <c r="O237">
        <v>133</v>
      </c>
      <c r="S237">
        <v>3</v>
      </c>
      <c r="T237">
        <v>7</v>
      </c>
      <c r="U237">
        <v>14.9</v>
      </c>
      <c r="V237" t="s">
        <v>587</v>
      </c>
      <c r="X237" t="s">
        <v>529</v>
      </c>
    </row>
    <row r="238" spans="1:24">
      <c r="A238" t="str">
        <f>Hyperlink("https://www.diodes.com/part/view/DMN10H170SFGQ","DMN10H170SFGQ")</f>
        <v>DMN10H170SFGQ</v>
      </c>
      <c r="B238" t="str">
        <f>Hyperlink("https://www.diodes.com/assets/Datasheets/DMN10H170SFGQ.pdf","DMN10H170SFGQ Datasheet")</f>
        <v>DMN10H170SFGQ Datasheet</v>
      </c>
      <c r="C238" t="s">
        <v>24</v>
      </c>
      <c r="D238" t="s">
        <v>25</v>
      </c>
      <c r="E238" t="s">
        <v>33</v>
      </c>
      <c r="F238" t="s">
        <v>27</v>
      </c>
      <c r="G238" t="s">
        <v>28</v>
      </c>
      <c r="H238">
        <v>100</v>
      </c>
      <c r="I238">
        <v>20</v>
      </c>
      <c r="J238">
        <v>2.9</v>
      </c>
      <c r="K238">
        <v>8.5</v>
      </c>
      <c r="L238">
        <v>2</v>
      </c>
      <c r="N238">
        <v>122</v>
      </c>
      <c r="O238">
        <v>133</v>
      </c>
      <c r="S238">
        <v>3</v>
      </c>
      <c r="T238">
        <v>7</v>
      </c>
      <c r="U238">
        <v>14.9</v>
      </c>
      <c r="V238">
        <v>870.7</v>
      </c>
      <c r="W238">
        <v>25</v>
      </c>
      <c r="X238" t="s">
        <v>529</v>
      </c>
    </row>
    <row r="239" spans="1:24">
      <c r="A239" t="str">
        <f>Hyperlink("https://www.diodes.com/part/view/DMN10H170SK3","DMN10H170SK3")</f>
        <v>DMN10H170SK3</v>
      </c>
      <c r="B239" t="str">
        <f>Hyperlink("https://www.diodes.com/assets/Datasheets/DMN10H170SK3.pdf","DMN10H170SK3 Datasheet")</f>
        <v>DMN10H170SK3 Datasheet</v>
      </c>
      <c r="C239" t="s">
        <v>24</v>
      </c>
      <c r="D239" t="s">
        <v>25</v>
      </c>
      <c r="E239" t="s">
        <v>26</v>
      </c>
      <c r="F239" t="s">
        <v>27</v>
      </c>
      <c r="G239" t="s">
        <v>28</v>
      </c>
      <c r="H239">
        <v>100</v>
      </c>
      <c r="I239">
        <v>20</v>
      </c>
      <c r="K239">
        <v>12</v>
      </c>
      <c r="L239">
        <v>2.84</v>
      </c>
      <c r="M239">
        <v>42</v>
      </c>
      <c r="N239">
        <v>140</v>
      </c>
      <c r="O239">
        <v>160</v>
      </c>
      <c r="S239">
        <v>3</v>
      </c>
      <c r="T239">
        <v>4.9</v>
      </c>
      <c r="U239">
        <v>9.7</v>
      </c>
      <c r="V239">
        <v>1167</v>
      </c>
      <c r="W239">
        <v>25</v>
      </c>
      <c r="X239" t="s">
        <v>507</v>
      </c>
    </row>
    <row r="240" spans="1:24">
      <c r="A240" t="str">
        <f>Hyperlink("https://www.diodes.com/part/view/DMN10H170SK3Q","DMN10H170SK3Q")</f>
        <v>DMN10H170SK3Q</v>
      </c>
      <c r="B240" t="str">
        <f>Hyperlink("https://www.diodes.com/assets/Datasheets/DMN10H170SK3Q2.pdf","DMN10H170SK3Q Datasheet")</f>
        <v>DMN10H170SK3Q Datasheet</v>
      </c>
      <c r="C240" t="s">
        <v>554</v>
      </c>
      <c r="D240" t="s">
        <v>25</v>
      </c>
      <c r="E240" t="s">
        <v>33</v>
      </c>
      <c r="F240" t="s">
        <v>27</v>
      </c>
      <c r="G240" t="s">
        <v>28</v>
      </c>
      <c r="H240">
        <v>100</v>
      </c>
      <c r="I240">
        <v>20</v>
      </c>
      <c r="K240">
        <v>12</v>
      </c>
      <c r="L240">
        <v>2.84</v>
      </c>
      <c r="M240">
        <v>42</v>
      </c>
      <c r="N240">
        <v>140</v>
      </c>
      <c r="O240">
        <v>160</v>
      </c>
      <c r="S240">
        <v>3</v>
      </c>
      <c r="T240">
        <v>4.9</v>
      </c>
      <c r="U240">
        <v>9.7</v>
      </c>
      <c r="V240">
        <v>1167</v>
      </c>
      <c r="W240">
        <v>25</v>
      </c>
      <c r="X240" t="s">
        <v>507</v>
      </c>
    </row>
    <row r="241" spans="1:24">
      <c r="A241" t="str">
        <f>Hyperlink("https://www.diodes.com/part/view/DMN10H170SVT","DMN10H170SVT")</f>
        <v>DMN10H170SVT</v>
      </c>
      <c r="B241" t="str">
        <f>Hyperlink("https://www.diodes.com/assets/Datasheets/DMN10H170SVT.pdf","DMN10H170SVT Datasheet")</f>
        <v>DMN10H170SVT Datasheet</v>
      </c>
      <c r="C241" t="s">
        <v>24</v>
      </c>
      <c r="D241" t="s">
        <v>25</v>
      </c>
      <c r="E241" t="s">
        <v>26</v>
      </c>
      <c r="F241" t="s">
        <v>27</v>
      </c>
      <c r="G241" t="s">
        <v>28</v>
      </c>
      <c r="H241">
        <v>100</v>
      </c>
      <c r="I241">
        <v>20</v>
      </c>
      <c r="J241">
        <v>2.6</v>
      </c>
      <c r="L241">
        <v>1.7</v>
      </c>
      <c r="N241">
        <v>160</v>
      </c>
      <c r="O241">
        <v>200</v>
      </c>
      <c r="S241">
        <v>3</v>
      </c>
      <c r="T241">
        <v>4.9</v>
      </c>
      <c r="U241">
        <v>9.7</v>
      </c>
      <c r="V241">
        <v>1167</v>
      </c>
      <c r="W241">
        <v>25</v>
      </c>
      <c r="X241" t="s">
        <v>128</v>
      </c>
    </row>
    <row r="242" spans="1:24">
      <c r="A242" t="str">
        <f>Hyperlink("https://www.diodes.com/part/view/DMN10H170SVTQ","DMN10H170SVTQ")</f>
        <v>DMN10H170SVTQ</v>
      </c>
      <c r="B242" t="str">
        <f>Hyperlink("https://www.diodes.com/assets/Datasheets/DMN10H170SVTQ.pdf","DMN10H170SVTQ Datasheet")</f>
        <v>DMN10H170SVTQ Datasheet</v>
      </c>
      <c r="C242" t="s">
        <v>554</v>
      </c>
      <c r="D242" t="s">
        <v>25</v>
      </c>
      <c r="E242" t="s">
        <v>33</v>
      </c>
      <c r="F242" t="s">
        <v>27</v>
      </c>
      <c r="G242" t="s">
        <v>28</v>
      </c>
      <c r="H242">
        <v>100</v>
      </c>
      <c r="I242">
        <v>20</v>
      </c>
      <c r="J242">
        <v>2.6</v>
      </c>
      <c r="L242">
        <v>1.7</v>
      </c>
      <c r="N242">
        <v>160</v>
      </c>
      <c r="O242">
        <v>200</v>
      </c>
      <c r="S242">
        <v>3</v>
      </c>
      <c r="T242">
        <v>4.9</v>
      </c>
      <c r="U242">
        <v>9.7</v>
      </c>
      <c r="V242">
        <v>1167</v>
      </c>
      <c r="W242">
        <v>25</v>
      </c>
      <c r="X242" t="s">
        <v>128</v>
      </c>
    </row>
    <row r="243" spans="1:24">
      <c r="A243" t="str">
        <f>Hyperlink("https://www.diodes.com/part/view/DMN10H220L","DMN10H220L")</f>
        <v>DMN10H220L</v>
      </c>
      <c r="B243" t="str">
        <f>Hyperlink("https://www.diodes.com/assets/Datasheets/DMN10H220L.pdf","DMN10H220L Datasheet")</f>
        <v>DMN10H220L Datasheet</v>
      </c>
      <c r="C243" t="s">
        <v>24</v>
      </c>
      <c r="D243" t="s">
        <v>25</v>
      </c>
      <c r="E243" t="s">
        <v>26</v>
      </c>
      <c r="F243" t="s">
        <v>27</v>
      </c>
      <c r="G243" t="s">
        <v>28</v>
      </c>
      <c r="H243">
        <v>100</v>
      </c>
      <c r="I243">
        <v>16</v>
      </c>
      <c r="J243">
        <v>1.6</v>
      </c>
      <c r="L243">
        <v>1.3</v>
      </c>
      <c r="N243">
        <v>220</v>
      </c>
      <c r="O243">
        <v>250</v>
      </c>
      <c r="S243">
        <v>2.5</v>
      </c>
      <c r="T243">
        <v>4.1</v>
      </c>
      <c r="U243">
        <v>8.3</v>
      </c>
      <c r="V243">
        <v>401</v>
      </c>
      <c r="X243" t="s">
        <v>32</v>
      </c>
    </row>
    <row r="244" spans="1:24">
      <c r="A244" t="str">
        <f>Hyperlink("https://www.diodes.com/part/view/DMN10H220LDV","DMN10H220LDV")</f>
        <v>DMN10H220LDV</v>
      </c>
      <c r="B244" t="str">
        <f>Hyperlink("https://www.diodes.com/assets/Datasheets/DMN10H220LDV.pdf","DMN10H220LDV Datasheet")</f>
        <v>DMN10H220LDV Datasheet</v>
      </c>
      <c r="C244" t="s">
        <v>588</v>
      </c>
      <c r="D244" t="s">
        <v>28</v>
      </c>
      <c r="E244" t="s">
        <v>26</v>
      </c>
      <c r="F244" t="s">
        <v>35</v>
      </c>
      <c r="G244" t="s">
        <v>28</v>
      </c>
      <c r="H244">
        <v>100</v>
      </c>
      <c r="I244">
        <v>20</v>
      </c>
      <c r="K244">
        <v>10.5</v>
      </c>
      <c r="L244">
        <v>1.8</v>
      </c>
      <c r="M244">
        <v>40</v>
      </c>
      <c r="O244">
        <v>270</v>
      </c>
      <c r="S244">
        <v>2.5</v>
      </c>
      <c r="T244">
        <v>3.9</v>
      </c>
      <c r="U244">
        <v>7.3</v>
      </c>
      <c r="V244">
        <v>366</v>
      </c>
      <c r="W244">
        <v>50</v>
      </c>
      <c r="X244" t="s">
        <v>529</v>
      </c>
    </row>
    <row r="245" spans="1:24">
      <c r="A245" t="str">
        <f>Hyperlink("https://www.diodes.com/part/view/DMN10H220LE","DMN10H220LE")</f>
        <v>DMN10H220LE</v>
      </c>
      <c r="B245" t="str">
        <f>Hyperlink("https://www.diodes.com/assets/Datasheets/DMN10H220LE.pdf","DMN10H220LE Datasheet")</f>
        <v>DMN10H220LE Datasheet</v>
      </c>
      <c r="C245" t="s">
        <v>24</v>
      </c>
      <c r="D245" t="s">
        <v>25</v>
      </c>
      <c r="E245" t="s">
        <v>26</v>
      </c>
      <c r="F245" t="s">
        <v>27</v>
      </c>
      <c r="G245" t="s">
        <v>28</v>
      </c>
      <c r="H245">
        <v>100</v>
      </c>
      <c r="I245">
        <v>20</v>
      </c>
      <c r="J245">
        <v>2.3</v>
      </c>
      <c r="L245">
        <v>1.8</v>
      </c>
      <c r="N245">
        <v>220</v>
      </c>
      <c r="O245">
        <v>250</v>
      </c>
      <c r="S245">
        <v>2.5</v>
      </c>
      <c r="T245">
        <v>4.1</v>
      </c>
      <c r="U245">
        <v>8.3</v>
      </c>
      <c r="V245">
        <v>401</v>
      </c>
      <c r="X245" t="s">
        <v>586</v>
      </c>
    </row>
    <row r="246" spans="1:24">
      <c r="A246" t="str">
        <f>Hyperlink("https://www.diodes.com/part/view/DMN10H220LFDF","DMN10H220LFDF")</f>
        <v>DMN10H220LFDF</v>
      </c>
      <c r="B246" t="str">
        <f>Hyperlink("https://www.diodes.com/assets/Datasheets/DMN10H220LFDF.pdf","DMN10H220LFDF Datasheet")</f>
        <v>DMN10H220LFDF Datasheet</v>
      </c>
      <c r="C246" t="s">
        <v>554</v>
      </c>
      <c r="D246" t="s">
        <v>28</v>
      </c>
      <c r="E246" t="s">
        <v>26</v>
      </c>
      <c r="F246" t="s">
        <v>27</v>
      </c>
      <c r="G246" t="s">
        <v>28</v>
      </c>
      <c r="H246">
        <v>100</v>
      </c>
      <c r="I246">
        <v>20</v>
      </c>
      <c r="J246">
        <v>2.2</v>
      </c>
      <c r="L246">
        <v>1.6</v>
      </c>
      <c r="N246">
        <v>225</v>
      </c>
      <c r="O246">
        <v>290</v>
      </c>
      <c r="S246">
        <v>2.5</v>
      </c>
      <c r="T246">
        <v>3.7</v>
      </c>
      <c r="U246">
        <v>6.7</v>
      </c>
      <c r="V246">
        <v>384</v>
      </c>
      <c r="W246">
        <v>25</v>
      </c>
      <c r="X246" t="s">
        <v>568</v>
      </c>
    </row>
    <row r="247" spans="1:24">
      <c r="A247" t="str">
        <f>Hyperlink("https://www.diodes.com/part/view/DMN10H220LFVW","DMN10H220LFVW")</f>
        <v>DMN10H220LFVW</v>
      </c>
      <c r="B247" t="str">
        <f>Hyperlink("https://www.diodes.com/assets/Datasheets/DMN10H220LFVW.pdf","DMN10H220LFVW Datasheet")</f>
        <v>DMN10H220LFVW Datasheet</v>
      </c>
      <c r="C247" t="s">
        <v>554</v>
      </c>
      <c r="D247" t="s">
        <v>28</v>
      </c>
      <c r="E247" t="s">
        <v>26</v>
      </c>
      <c r="F247" t="s">
        <v>27</v>
      </c>
      <c r="G247" t="s">
        <v>28</v>
      </c>
      <c r="H247">
        <v>100</v>
      </c>
      <c r="I247">
        <v>20</v>
      </c>
      <c r="K247">
        <v>11</v>
      </c>
      <c r="L247">
        <v>2.4</v>
      </c>
      <c r="M247">
        <v>41</v>
      </c>
      <c r="N247">
        <v>222</v>
      </c>
      <c r="O247">
        <v>270</v>
      </c>
      <c r="S247">
        <v>2.5</v>
      </c>
      <c r="T247">
        <v>4.1</v>
      </c>
      <c r="U247">
        <v>7.4</v>
      </c>
      <c r="V247">
        <v>366</v>
      </c>
      <c r="W247">
        <v>50</v>
      </c>
      <c r="X247" t="s">
        <v>589</v>
      </c>
    </row>
    <row r="248" spans="1:24">
      <c r="A248" t="str">
        <f>Hyperlink("https://www.diodes.com/part/view/DMN10H220LK3","DMN10H220LK3")</f>
        <v>DMN10H220LK3</v>
      </c>
      <c r="B248" t="str">
        <f>Hyperlink("https://www.diodes.com/assets/Datasheets/DMN10H220LK3.pdf","DMN10H220LK3 Datasheet")</f>
        <v>DMN10H220LK3 Datasheet</v>
      </c>
      <c r="C248" t="s">
        <v>24</v>
      </c>
      <c r="D248" t="s">
        <v>28</v>
      </c>
      <c r="E248" t="s">
        <v>26</v>
      </c>
      <c r="F248" t="s">
        <v>27</v>
      </c>
      <c r="G248" t="s">
        <v>28</v>
      </c>
      <c r="H248">
        <v>100</v>
      </c>
      <c r="I248">
        <v>20</v>
      </c>
      <c r="K248">
        <v>7.5</v>
      </c>
      <c r="M248">
        <v>18.7</v>
      </c>
      <c r="N248">
        <v>220</v>
      </c>
      <c r="O248">
        <v>250</v>
      </c>
      <c r="S248">
        <v>2.5</v>
      </c>
      <c r="T248">
        <v>3.7</v>
      </c>
      <c r="U248">
        <v>6.7</v>
      </c>
      <c r="V248">
        <v>384</v>
      </c>
      <c r="W248">
        <v>25</v>
      </c>
      <c r="X248" t="s">
        <v>507</v>
      </c>
    </row>
    <row r="249" spans="1:24">
      <c r="A249" t="str">
        <f>Hyperlink("https://www.diodes.com/part/view/DMN10H220LPDW","DMN10H220LPDW")</f>
        <v>DMN10H220LPDW</v>
      </c>
      <c r="B249" t="str">
        <f>Hyperlink("https://www.diodes.com/assets/Datasheets/DMN10H220LPDW.pdf","DMN10H220LPDW Datasheet")</f>
        <v>DMN10H220LPDW Datasheet</v>
      </c>
      <c r="C249" t="s">
        <v>24</v>
      </c>
      <c r="D249" t="s">
        <v>28</v>
      </c>
      <c r="E249" t="s">
        <v>26</v>
      </c>
      <c r="F249" t="s">
        <v>35</v>
      </c>
      <c r="G249" t="s">
        <v>28</v>
      </c>
      <c r="H249">
        <v>100</v>
      </c>
      <c r="I249">
        <v>20</v>
      </c>
      <c r="K249">
        <v>8</v>
      </c>
      <c r="L249">
        <v>2.2</v>
      </c>
      <c r="N249">
        <v>222</v>
      </c>
      <c r="O249">
        <v>270</v>
      </c>
      <c r="S249">
        <v>2.5</v>
      </c>
      <c r="T249">
        <v>3.7</v>
      </c>
      <c r="U249">
        <v>6.7</v>
      </c>
      <c r="V249">
        <v>384</v>
      </c>
      <c r="W249">
        <v>25</v>
      </c>
      <c r="X249" t="s">
        <v>590</v>
      </c>
    </row>
    <row r="250" spans="1:24">
      <c r="A250" t="str">
        <f>Hyperlink("https://www.diodes.com/part/view/DMN10H220LQ","DMN10H220LQ")</f>
        <v>DMN10H220LQ</v>
      </c>
      <c r="B250" t="str">
        <f>Hyperlink("https://www.diodes.com/assets/Datasheets/DMN10H220LQ.pdf","DMN10H220LQ Datasheet")</f>
        <v>DMN10H220LQ Datasheet</v>
      </c>
      <c r="C250" t="s">
        <v>24</v>
      </c>
      <c r="D250" t="s">
        <v>25</v>
      </c>
      <c r="E250" t="s">
        <v>33</v>
      </c>
      <c r="F250" t="s">
        <v>27</v>
      </c>
      <c r="G250" t="s">
        <v>28</v>
      </c>
      <c r="H250">
        <v>100</v>
      </c>
      <c r="I250">
        <v>16</v>
      </c>
      <c r="J250">
        <v>1.6</v>
      </c>
      <c r="L250">
        <v>1.3</v>
      </c>
      <c r="N250">
        <v>220</v>
      </c>
      <c r="O250">
        <v>250</v>
      </c>
      <c r="R250">
        <v>1</v>
      </c>
      <c r="S250">
        <v>2.5</v>
      </c>
      <c r="T250">
        <v>4.1</v>
      </c>
      <c r="U250">
        <v>8.3</v>
      </c>
      <c r="V250">
        <v>401</v>
      </c>
      <c r="W250">
        <v>25</v>
      </c>
      <c r="X250" t="s">
        <v>32</v>
      </c>
    </row>
    <row r="251" spans="1:24">
      <c r="A251" t="str">
        <f>Hyperlink("https://www.diodes.com/part/view/DMN10H220LVT","DMN10H220LVT")</f>
        <v>DMN10H220LVT</v>
      </c>
      <c r="B251" t="str">
        <f>Hyperlink("https://www.diodes.com/assets/Datasheets/DMN10H220LVT.pdf","DMN10H220LVT Datasheet")</f>
        <v>DMN10H220LVT Datasheet</v>
      </c>
      <c r="C251" t="s">
        <v>554</v>
      </c>
      <c r="D251" t="s">
        <v>28</v>
      </c>
      <c r="E251" t="s">
        <v>26</v>
      </c>
      <c r="F251" t="s">
        <v>27</v>
      </c>
      <c r="G251" t="s">
        <v>28</v>
      </c>
      <c r="H251">
        <v>100</v>
      </c>
      <c r="I251">
        <v>16</v>
      </c>
      <c r="J251">
        <v>2.24</v>
      </c>
      <c r="L251">
        <v>1.67</v>
      </c>
      <c r="N251">
        <v>220</v>
      </c>
      <c r="O251">
        <v>250</v>
      </c>
      <c r="S251">
        <v>2.5</v>
      </c>
      <c r="T251">
        <v>4.1</v>
      </c>
      <c r="U251">
        <v>8.3</v>
      </c>
      <c r="V251">
        <v>401</v>
      </c>
      <c r="W251">
        <v>25</v>
      </c>
      <c r="X251" t="s">
        <v>128</v>
      </c>
    </row>
    <row r="252" spans="1:24">
      <c r="A252" t="str">
        <f>Hyperlink("https://www.diodes.com/part/view/DMN10H6D2LFDB","DMN10H6D2LFDB")</f>
        <v>DMN10H6D2LFDB</v>
      </c>
      <c r="B252" t="str">
        <f>Hyperlink("https://www.diodes.com/assets/Datasheets/DMN10H6D2LFDB.pdf","DMN10H6D2LFDB Datasheet")</f>
        <v>DMN10H6D2LFDB Datasheet</v>
      </c>
      <c r="C252" t="s">
        <v>34</v>
      </c>
      <c r="D252" t="s">
        <v>28</v>
      </c>
      <c r="E252" t="s">
        <v>26</v>
      </c>
      <c r="F252" t="s">
        <v>35</v>
      </c>
      <c r="G252" t="s">
        <v>25</v>
      </c>
      <c r="H252">
        <v>100</v>
      </c>
      <c r="I252">
        <v>20</v>
      </c>
      <c r="J252">
        <v>0.27</v>
      </c>
      <c r="L252">
        <v>1</v>
      </c>
      <c r="N252">
        <v>6000</v>
      </c>
      <c r="O252">
        <v>10000</v>
      </c>
      <c r="S252">
        <v>2</v>
      </c>
      <c r="T252">
        <v>0.6</v>
      </c>
      <c r="U252">
        <v>1.2</v>
      </c>
      <c r="X252" t="s">
        <v>125</v>
      </c>
    </row>
    <row r="253" spans="1:24">
      <c r="A253" t="str">
        <f>Hyperlink("https://www.diodes.com/part/view/DMN10H700S","DMN10H700S")</f>
        <v>DMN10H700S</v>
      </c>
      <c r="B253" t="str">
        <f>Hyperlink("https://www.diodes.com/assets/Datasheets/DMN10H700S.pdf","DMN10H700S Datasheet")</f>
        <v>DMN10H700S Datasheet</v>
      </c>
      <c r="C253" t="s">
        <v>554</v>
      </c>
      <c r="D253" t="s">
        <v>25</v>
      </c>
      <c r="E253" t="s">
        <v>26</v>
      </c>
      <c r="F253" t="s">
        <v>27</v>
      </c>
      <c r="G253" t="s">
        <v>28</v>
      </c>
      <c r="H253">
        <v>100</v>
      </c>
      <c r="I253">
        <v>20</v>
      </c>
      <c r="J253">
        <v>0.7</v>
      </c>
      <c r="L253">
        <v>0.4</v>
      </c>
      <c r="N253">
        <v>700</v>
      </c>
      <c r="O253" t="s">
        <v>591</v>
      </c>
      <c r="S253">
        <v>4</v>
      </c>
      <c r="U253">
        <v>4.6</v>
      </c>
      <c r="V253">
        <v>235</v>
      </c>
      <c r="W253">
        <v>50</v>
      </c>
      <c r="X253" t="s">
        <v>32</v>
      </c>
    </row>
    <row r="254" spans="1:24">
      <c r="A254" t="str">
        <f>Hyperlink("https://www.diodes.com/part/view/DMN1150UFB","DMN1150UFB")</f>
        <v>DMN1150UFB</v>
      </c>
      <c r="B254" t="str">
        <f>Hyperlink("https://www.diodes.com/assets/Datasheets/DMN1150UFB.pdf","DMN1150UFB Datasheet")</f>
        <v>DMN1150UFB Datasheet</v>
      </c>
      <c r="C254" t="s">
        <v>496</v>
      </c>
      <c r="D254" t="s">
        <v>25</v>
      </c>
      <c r="E254" t="s">
        <v>26</v>
      </c>
      <c r="F254" t="s">
        <v>27</v>
      </c>
      <c r="G254" t="s">
        <v>25</v>
      </c>
      <c r="H254">
        <v>12</v>
      </c>
      <c r="I254">
        <v>6</v>
      </c>
      <c r="J254">
        <v>1.4</v>
      </c>
      <c r="L254">
        <v>0.5</v>
      </c>
      <c r="O254">
        <v>150</v>
      </c>
      <c r="P254">
        <v>185</v>
      </c>
      <c r="Q254">
        <v>210</v>
      </c>
      <c r="R254">
        <v>0.35</v>
      </c>
      <c r="S254">
        <v>1</v>
      </c>
      <c r="T254">
        <v>1.5</v>
      </c>
      <c r="V254">
        <v>110</v>
      </c>
      <c r="X254" t="s">
        <v>592</v>
      </c>
    </row>
    <row r="255" spans="1:24">
      <c r="A255" t="str">
        <f>Hyperlink("https://www.diodes.com/part/view/DMN1150UFL3","DMN1150UFL3")</f>
        <v>DMN1150UFL3</v>
      </c>
      <c r="B255" t="str">
        <f>Hyperlink("https://www.diodes.com/assets/Datasheets/DMN1150UFL3.pdf","DMN1150UFL3 Datasheet")</f>
        <v>DMN1150UFL3 Datasheet</v>
      </c>
      <c r="C255" t="s">
        <v>34</v>
      </c>
      <c r="D255" t="s">
        <v>25</v>
      </c>
      <c r="E255" t="s">
        <v>26</v>
      </c>
      <c r="F255" t="s">
        <v>35</v>
      </c>
      <c r="G255" t="s">
        <v>25</v>
      </c>
      <c r="H255">
        <v>12</v>
      </c>
      <c r="I255">
        <v>6</v>
      </c>
      <c r="J255">
        <v>2</v>
      </c>
      <c r="L255">
        <v>0.9</v>
      </c>
      <c r="O255">
        <v>150</v>
      </c>
      <c r="P255">
        <v>185</v>
      </c>
      <c r="Q255">
        <v>210</v>
      </c>
      <c r="R255">
        <v>0.35</v>
      </c>
      <c r="S255">
        <v>1</v>
      </c>
      <c r="T255">
        <v>1.4</v>
      </c>
      <c r="V255">
        <v>115</v>
      </c>
      <c r="W255">
        <v>6</v>
      </c>
      <c r="X255" t="s">
        <v>412</v>
      </c>
    </row>
    <row r="256" spans="1:24">
      <c r="A256" t="str">
        <f>Hyperlink("https://www.diodes.com/part/view/DMN1250UFEL","DMN1250UFEL")</f>
        <v>DMN1250UFEL</v>
      </c>
      <c r="B256" t="str">
        <f>Hyperlink("https://www.diodes.com/assets/Datasheets/DMN1250UFEL.pdf","DMN1250UFEL Datasheet")</f>
        <v>DMN1250UFEL Datasheet</v>
      </c>
      <c r="C256" t="s">
        <v>24</v>
      </c>
      <c r="D256" t="s">
        <v>28</v>
      </c>
      <c r="E256" t="s">
        <v>26</v>
      </c>
      <c r="F256" t="s">
        <v>593</v>
      </c>
      <c r="G256" t="s">
        <v>28</v>
      </c>
      <c r="H256">
        <v>12</v>
      </c>
      <c r="I256">
        <v>8</v>
      </c>
      <c r="J256">
        <v>2</v>
      </c>
      <c r="L256">
        <v>1.25</v>
      </c>
      <c r="O256">
        <v>450</v>
      </c>
      <c r="P256">
        <v>550</v>
      </c>
      <c r="S256">
        <v>1</v>
      </c>
      <c r="T256">
        <v>1.3</v>
      </c>
      <c r="V256">
        <v>146</v>
      </c>
      <c r="W256">
        <v>6</v>
      </c>
      <c r="X256" t="s">
        <v>594</v>
      </c>
    </row>
    <row r="257" spans="1:24">
      <c r="A257" t="str">
        <f>Hyperlink("https://www.diodes.com/part/view/DMN1260UFA","DMN1260UFA")</f>
        <v>DMN1260UFA</v>
      </c>
      <c r="B257" t="str">
        <f>Hyperlink("https://www.diodes.com/assets/Datasheets/DMN1260UFA.pdf","DMN1260UFA Datasheet")</f>
        <v>DMN1260UFA Datasheet</v>
      </c>
      <c r="C257" t="s">
        <v>496</v>
      </c>
      <c r="D257" t="s">
        <v>28</v>
      </c>
      <c r="E257" t="s">
        <v>26</v>
      </c>
      <c r="F257" t="s">
        <v>27</v>
      </c>
      <c r="G257" t="s">
        <v>25</v>
      </c>
      <c r="H257">
        <v>12</v>
      </c>
      <c r="I257">
        <v>8</v>
      </c>
      <c r="J257">
        <v>0.5</v>
      </c>
      <c r="L257">
        <v>0.36</v>
      </c>
      <c r="O257">
        <v>366</v>
      </c>
      <c r="P257">
        <v>520</v>
      </c>
      <c r="Q257">
        <v>950</v>
      </c>
      <c r="S257">
        <v>1</v>
      </c>
      <c r="T257">
        <v>0.96</v>
      </c>
      <c r="V257">
        <v>65</v>
      </c>
      <c r="X257" t="s">
        <v>595</v>
      </c>
    </row>
    <row r="258" spans="1:24">
      <c r="A258" t="str">
        <f>Hyperlink("https://www.diodes.com/part/view/DMN12M3UCA6","DMN12M3UCA6")</f>
        <v>DMN12M3UCA6</v>
      </c>
      <c r="B258" t="str">
        <f>Hyperlink("https://www.diodes.com/assets/Datasheets/DMN12M3UCA6.pdf","DMN12M3UCA6 Datasheet")</f>
        <v>DMN12M3UCA6 Datasheet</v>
      </c>
      <c r="C258" t="s">
        <v>596</v>
      </c>
      <c r="D258" t="s">
        <v>28</v>
      </c>
      <c r="E258" t="s">
        <v>26</v>
      </c>
      <c r="F258" t="s">
        <v>35</v>
      </c>
      <c r="G258" t="s">
        <v>25</v>
      </c>
      <c r="H258">
        <v>14</v>
      </c>
      <c r="I258">
        <v>8</v>
      </c>
      <c r="J258">
        <v>24.4</v>
      </c>
      <c r="L258">
        <v>2.47</v>
      </c>
      <c r="O258">
        <v>2.75</v>
      </c>
      <c r="P258">
        <v>6.1</v>
      </c>
      <c r="R258">
        <v>0.35</v>
      </c>
      <c r="S258">
        <v>1.4</v>
      </c>
      <c r="T258" t="s">
        <v>563</v>
      </c>
      <c r="V258">
        <v>3062</v>
      </c>
      <c r="W258">
        <v>10</v>
      </c>
      <c r="X258" t="s">
        <v>564</v>
      </c>
    </row>
    <row r="259" spans="1:24">
      <c r="A259" t="str">
        <f>Hyperlink("https://www.diodes.com/part/view/DMN12M7UCA10","DMN12M7UCA10")</f>
        <v>DMN12M7UCA10</v>
      </c>
      <c r="B259" t="str">
        <f>Hyperlink("https://www.diodes.com/assets/Datasheets/DMN12M7UCA10.pdf","DMN12M7UCA10 Datasheet")</f>
        <v>DMN12M7UCA10 Datasheet</v>
      </c>
      <c r="C259" t="s">
        <v>24</v>
      </c>
      <c r="D259" t="s">
        <v>28</v>
      </c>
      <c r="E259" t="s">
        <v>26</v>
      </c>
      <c r="F259" t="s">
        <v>35</v>
      </c>
      <c r="G259" t="s">
        <v>25</v>
      </c>
      <c r="H259">
        <v>12</v>
      </c>
      <c r="I259">
        <v>8</v>
      </c>
      <c r="J259">
        <v>20.2</v>
      </c>
      <c r="L259">
        <v>1.73</v>
      </c>
      <c r="O259">
        <v>2.75</v>
      </c>
      <c r="P259">
        <v>6.1</v>
      </c>
      <c r="R259">
        <v>0.5</v>
      </c>
      <c r="S259">
        <v>1.4</v>
      </c>
      <c r="T259" t="s">
        <v>597</v>
      </c>
      <c r="V259">
        <v>3039</v>
      </c>
      <c r="W259">
        <v>10</v>
      </c>
      <c r="X259" t="s">
        <v>598</v>
      </c>
    </row>
    <row r="260" spans="1:24">
      <c r="A260" t="str">
        <f>Hyperlink("https://www.diodes.com/part/view/DMN12M8UCA10","DMN12M8UCA10")</f>
        <v>DMN12M8UCA10</v>
      </c>
      <c r="B260" t="str">
        <f>Hyperlink("https://www.diodes.com/assets/Datasheets/DMN12M8UCA10.pdf","DMN12M8UCA10 Datasheet")</f>
        <v>DMN12M8UCA10 Datasheet</v>
      </c>
      <c r="C260" t="s">
        <v>24</v>
      </c>
      <c r="D260" t="s">
        <v>28</v>
      </c>
      <c r="E260" t="s">
        <v>26</v>
      </c>
      <c r="F260" t="s">
        <v>35</v>
      </c>
      <c r="G260" t="s">
        <v>25</v>
      </c>
      <c r="H260">
        <v>12</v>
      </c>
      <c r="I260">
        <v>8</v>
      </c>
      <c r="J260">
        <v>25</v>
      </c>
      <c r="L260">
        <v>2.75</v>
      </c>
      <c r="O260">
        <v>2.8</v>
      </c>
      <c r="P260">
        <v>6.2</v>
      </c>
      <c r="R260">
        <v>0.5</v>
      </c>
      <c r="S260">
        <v>1.4</v>
      </c>
      <c r="T260" t="s">
        <v>599</v>
      </c>
      <c r="V260">
        <v>2504</v>
      </c>
      <c r="W260">
        <v>10</v>
      </c>
      <c r="X260" t="s">
        <v>598</v>
      </c>
    </row>
    <row r="261" spans="1:24">
      <c r="A261" t="str">
        <f>Hyperlink("https://www.diodes.com/part/view/DMN13H750S","DMN13H750S")</f>
        <v>DMN13H750S</v>
      </c>
      <c r="B261" t="str">
        <f>Hyperlink("https://www.diodes.com/assets/Datasheets/DMN13H750S.pdf","DMN13H750S Datasheet")</f>
        <v>DMN13H750S Datasheet</v>
      </c>
      <c r="C261" t="s">
        <v>24</v>
      </c>
      <c r="D261" t="s">
        <v>25</v>
      </c>
      <c r="E261" t="s">
        <v>26</v>
      </c>
      <c r="F261" t="s">
        <v>27</v>
      </c>
      <c r="G261" t="s">
        <v>28</v>
      </c>
      <c r="H261">
        <v>130</v>
      </c>
      <c r="I261">
        <v>20</v>
      </c>
      <c r="J261">
        <v>1</v>
      </c>
      <c r="L261">
        <v>1.26</v>
      </c>
      <c r="N261">
        <v>750</v>
      </c>
      <c r="O261" t="s">
        <v>600</v>
      </c>
      <c r="S261">
        <v>4</v>
      </c>
      <c r="U261">
        <v>5.6</v>
      </c>
      <c r="V261">
        <v>231</v>
      </c>
      <c r="X261" t="s">
        <v>32</v>
      </c>
    </row>
    <row r="262" spans="1:24">
      <c r="A262" t="str">
        <f>Hyperlink("https://www.diodes.com/part/view/DMN13M9UCA6","DMN13M9UCA6")</f>
        <v>DMN13M9UCA6</v>
      </c>
      <c r="B262" t="str">
        <f>Hyperlink("https://www.diodes.com/assets/Datasheets/DMN13M9UCA6.pdf","DMN13M9UCA6 Datasheet")</f>
        <v>DMN13M9UCA6 Datasheet</v>
      </c>
      <c r="C262" t="s">
        <v>560</v>
      </c>
      <c r="D262" t="s">
        <v>28</v>
      </c>
      <c r="E262" t="s">
        <v>26</v>
      </c>
      <c r="F262" t="s">
        <v>35</v>
      </c>
      <c r="G262" t="s">
        <v>25</v>
      </c>
      <c r="H262">
        <v>12</v>
      </c>
      <c r="I262">
        <v>8</v>
      </c>
      <c r="J262">
        <v>23.6</v>
      </c>
      <c r="L262">
        <v>2.67</v>
      </c>
      <c r="O262">
        <v>3.2</v>
      </c>
      <c r="P262">
        <v>6.5</v>
      </c>
      <c r="R262">
        <v>0.5</v>
      </c>
      <c r="S262">
        <v>1.3</v>
      </c>
      <c r="T262">
        <v>56.5</v>
      </c>
      <c r="V262">
        <v>3315</v>
      </c>
      <c r="W262">
        <v>6</v>
      </c>
      <c r="X262" t="s">
        <v>601</v>
      </c>
    </row>
    <row r="263" spans="1:24">
      <c r="A263" t="str">
        <f>Hyperlink("https://www.diodes.com/part/view/DMN14M8UFDF","DMN14M8UFDF")</f>
        <v>DMN14M8UFDF</v>
      </c>
      <c r="B263" t="str">
        <f>Hyperlink("https://www.diodes.com/assets/Datasheets/DMN14M8UFDF.pdf","DMN14M8UFDF Datasheet")</f>
        <v>DMN14M8UFDF Datasheet</v>
      </c>
      <c r="C263" t="s">
        <v>560</v>
      </c>
      <c r="D263" t="s">
        <v>28</v>
      </c>
      <c r="E263" t="s">
        <v>26</v>
      </c>
      <c r="F263" t="s">
        <v>27</v>
      </c>
      <c r="G263" t="s">
        <v>28</v>
      </c>
      <c r="H263">
        <v>12</v>
      </c>
      <c r="I263">
        <v>8</v>
      </c>
      <c r="J263">
        <v>14.7</v>
      </c>
      <c r="L263">
        <v>1.9</v>
      </c>
      <c r="O263">
        <v>6</v>
      </c>
      <c r="P263">
        <v>9</v>
      </c>
      <c r="S263">
        <v>1.2</v>
      </c>
      <c r="T263">
        <v>14.6</v>
      </c>
      <c r="U263">
        <v>29.5</v>
      </c>
      <c r="V263">
        <v>1246</v>
      </c>
      <c r="W263">
        <v>6</v>
      </c>
      <c r="X263" t="s">
        <v>568</v>
      </c>
    </row>
    <row r="264" spans="1:24">
      <c r="A264" t="str">
        <f>Hyperlink("https://www.diodes.com/part/view/DMN15H310SE","DMN15H310SE")</f>
        <v>DMN15H310SE</v>
      </c>
      <c r="B264" t="str">
        <f>Hyperlink("https://www.diodes.com/assets/Datasheets/DMN15H310SE.pdf","DMN15H310SE Datasheet")</f>
        <v>DMN15H310SE Datasheet</v>
      </c>
      <c r="C264" t="s">
        <v>24</v>
      </c>
      <c r="D264" t="s">
        <v>25</v>
      </c>
      <c r="E264" t="s">
        <v>26</v>
      </c>
      <c r="F264" t="s">
        <v>27</v>
      </c>
      <c r="G264" t="s">
        <v>28</v>
      </c>
      <c r="H264">
        <v>150</v>
      </c>
      <c r="I264">
        <v>20</v>
      </c>
      <c r="J264">
        <v>2</v>
      </c>
      <c r="K264">
        <v>7.1</v>
      </c>
      <c r="L264">
        <v>1.9</v>
      </c>
      <c r="N264">
        <v>310</v>
      </c>
      <c r="O264" t="s">
        <v>602</v>
      </c>
      <c r="S264">
        <v>3</v>
      </c>
      <c r="T264" t="s">
        <v>603</v>
      </c>
      <c r="U264">
        <v>8.7</v>
      </c>
      <c r="V264">
        <v>405</v>
      </c>
      <c r="W264">
        <v>25</v>
      </c>
      <c r="X264" t="s">
        <v>586</v>
      </c>
    </row>
    <row r="265" spans="1:24">
      <c r="A265" t="str">
        <f>Hyperlink("https://www.diodes.com/part/view/DMN15H310SK3","DMN15H310SK3")</f>
        <v>DMN15H310SK3</v>
      </c>
      <c r="B265" t="str">
        <f>Hyperlink("https://www.diodes.com/assets/Datasheets/DMN15H310SK3.pdf","DMN15H310SK3 Datasheet")</f>
        <v>DMN15H310SK3 Datasheet</v>
      </c>
      <c r="C265" t="s">
        <v>604</v>
      </c>
      <c r="D265" t="s">
        <v>25</v>
      </c>
      <c r="E265" t="s">
        <v>26</v>
      </c>
      <c r="F265" t="s">
        <v>27</v>
      </c>
      <c r="G265" t="s">
        <v>28</v>
      </c>
      <c r="H265">
        <v>150</v>
      </c>
      <c r="I265">
        <v>20</v>
      </c>
      <c r="K265">
        <v>8.3</v>
      </c>
      <c r="L265">
        <v>2.55</v>
      </c>
      <c r="M265">
        <v>32</v>
      </c>
      <c r="N265">
        <v>310</v>
      </c>
      <c r="O265" t="s">
        <v>602</v>
      </c>
      <c r="S265">
        <v>3</v>
      </c>
      <c r="T265" t="s">
        <v>603</v>
      </c>
      <c r="U265">
        <v>8.7</v>
      </c>
      <c r="V265">
        <v>405</v>
      </c>
      <c r="W265">
        <v>25</v>
      </c>
      <c r="X265" t="s">
        <v>507</v>
      </c>
    </row>
    <row r="266" spans="1:24">
      <c r="A266" t="str">
        <f>Hyperlink("https://www.diodes.com/part/view/DMN15M3UCA6","DMN15M3UCA6")</f>
        <v>DMN15M3UCA6</v>
      </c>
      <c r="B266" t="str">
        <f>Hyperlink("https://www.diodes.com/assets/Datasheets/DMN15M3UCA6.pdf","DMN15M3UCA6 Datasheet")</f>
        <v>DMN15M3UCA6 Datasheet</v>
      </c>
      <c r="C266" t="s">
        <v>596</v>
      </c>
      <c r="D266" t="s">
        <v>28</v>
      </c>
      <c r="E266" t="s">
        <v>26</v>
      </c>
      <c r="F266" t="s">
        <v>35</v>
      </c>
      <c r="G266" t="s">
        <v>25</v>
      </c>
      <c r="H266">
        <v>14</v>
      </c>
      <c r="I266">
        <v>12</v>
      </c>
      <c r="J266">
        <v>16.5</v>
      </c>
      <c r="L266">
        <v>2.4</v>
      </c>
      <c r="O266">
        <v>5.8</v>
      </c>
      <c r="P266">
        <v>8</v>
      </c>
      <c r="R266">
        <v>0.5</v>
      </c>
      <c r="S266">
        <v>1.3</v>
      </c>
      <c r="T266">
        <v>35.2</v>
      </c>
      <c r="V266">
        <v>2360</v>
      </c>
      <c r="W266">
        <v>6</v>
      </c>
      <c r="X266" t="s">
        <v>571</v>
      </c>
    </row>
    <row r="267" spans="1:24">
      <c r="A267" t="str">
        <f>Hyperlink("https://www.diodes.com/part/view/DMN15M5UCA4","DMN15M5UCA4")</f>
        <v>DMN15M5UCA4</v>
      </c>
      <c r="B267" t="str">
        <f>Hyperlink("https://www.diodes.com/assets/Datasheets/DMN15M5UCA4.pdf","DMN15M5UCA4 Datasheet")</f>
        <v>DMN15M5UCA4 Datasheet</v>
      </c>
      <c r="C267" t="s">
        <v>605</v>
      </c>
      <c r="D267" t="s">
        <v>28</v>
      </c>
      <c r="E267" t="s">
        <v>26</v>
      </c>
      <c r="F267" t="s">
        <v>27</v>
      </c>
      <c r="G267" t="s">
        <v>25</v>
      </c>
      <c r="H267">
        <v>12</v>
      </c>
      <c r="I267">
        <v>8</v>
      </c>
      <c r="J267">
        <v>8.8</v>
      </c>
      <c r="L267">
        <v>1.8</v>
      </c>
      <c r="P267" t="s">
        <v>606</v>
      </c>
      <c r="R267">
        <v>0.35</v>
      </c>
      <c r="S267">
        <v>1.4</v>
      </c>
      <c r="T267" t="s">
        <v>607</v>
      </c>
      <c r="V267">
        <v>1669</v>
      </c>
      <c r="W267">
        <v>6</v>
      </c>
      <c r="X267" t="s">
        <v>608</v>
      </c>
    </row>
    <row r="268" spans="1:24">
      <c r="A268" t="str">
        <f>Hyperlink("https://www.diodes.com/part/view/DMN15M5UCA6","DMN15M5UCA6")</f>
        <v>DMN15M5UCA6</v>
      </c>
      <c r="B268" t="str">
        <f>Hyperlink("https://www.diodes.com/assets/Datasheets/DMN15M5UCA6.pdf","DMN15M5UCA6 Datasheet")</f>
        <v>DMN15M5UCA6 Datasheet</v>
      </c>
      <c r="C268" t="s">
        <v>24</v>
      </c>
      <c r="D268" t="s">
        <v>28</v>
      </c>
      <c r="E268" t="s">
        <v>26</v>
      </c>
      <c r="F268" t="s">
        <v>35</v>
      </c>
      <c r="G268" t="s">
        <v>25</v>
      </c>
      <c r="H268">
        <v>12</v>
      </c>
      <c r="I268">
        <v>10.5</v>
      </c>
      <c r="J268">
        <v>16.5</v>
      </c>
      <c r="L268">
        <v>2</v>
      </c>
      <c r="O268">
        <v>5.1</v>
      </c>
      <c r="P268">
        <v>10</v>
      </c>
      <c r="R268">
        <v>0.5</v>
      </c>
      <c r="S268">
        <v>1.3</v>
      </c>
      <c r="V268">
        <v>59</v>
      </c>
      <c r="W268">
        <v>10</v>
      </c>
      <c r="X268" t="s">
        <v>609</v>
      </c>
    </row>
    <row r="269" spans="1:24">
      <c r="A269" t="str">
        <f>Hyperlink("https://www.diodes.com/part/view/DMN16M0UCA6","DMN16M0UCA6")</f>
        <v>DMN16M0UCA6</v>
      </c>
      <c r="B269" t="str">
        <f>Hyperlink("https://www.diodes.com/assets/Datasheets/DMN16M0UCA6.pdf","DMN16M0UCA6 Datasheet")</f>
        <v>DMN16M0UCA6 Datasheet</v>
      </c>
      <c r="C269" t="s">
        <v>24</v>
      </c>
      <c r="D269" t="s">
        <v>28</v>
      </c>
      <c r="E269" t="s">
        <v>26</v>
      </c>
      <c r="F269" t="s">
        <v>35</v>
      </c>
      <c r="G269" t="s">
        <v>25</v>
      </c>
      <c r="H269">
        <v>12</v>
      </c>
      <c r="I269">
        <v>8</v>
      </c>
      <c r="J269">
        <v>17</v>
      </c>
      <c r="L269">
        <v>2.6</v>
      </c>
      <c r="O269">
        <v>5.9</v>
      </c>
      <c r="P269">
        <v>11</v>
      </c>
      <c r="R269">
        <v>0.4</v>
      </c>
      <c r="S269">
        <v>1.3</v>
      </c>
      <c r="T269">
        <v>24</v>
      </c>
      <c r="X269" t="s">
        <v>610</v>
      </c>
    </row>
    <row r="270" spans="1:24">
      <c r="A270" t="str">
        <f>Hyperlink("https://www.diodes.com/part/view/DMN16M7UCA6","DMN16M7UCA6")</f>
        <v>DMN16M7UCA6</v>
      </c>
      <c r="B270" t="str">
        <f>Hyperlink("https://www.diodes.com/assets/Datasheets/DMN16M7UCA6.pdf","DMN16M7UCA6 Datasheet")</f>
        <v>DMN16M7UCA6 Datasheet</v>
      </c>
      <c r="C270" t="s">
        <v>605</v>
      </c>
      <c r="D270" t="s">
        <v>28</v>
      </c>
      <c r="E270" t="s">
        <v>26</v>
      </c>
      <c r="F270" t="s">
        <v>27</v>
      </c>
      <c r="G270" t="s">
        <v>25</v>
      </c>
      <c r="H270">
        <v>12</v>
      </c>
      <c r="I270">
        <v>8</v>
      </c>
      <c r="J270">
        <v>19.2</v>
      </c>
      <c r="L270">
        <v>2.1</v>
      </c>
      <c r="O270">
        <v>3.8</v>
      </c>
      <c r="P270">
        <v>4</v>
      </c>
      <c r="R270">
        <v>0.5</v>
      </c>
      <c r="S270">
        <v>1.3</v>
      </c>
      <c r="T270">
        <v>45.4</v>
      </c>
      <c r="V270">
        <v>2333</v>
      </c>
      <c r="W270">
        <v>6</v>
      </c>
      <c r="X270" t="s">
        <v>611</v>
      </c>
    </row>
    <row r="271" spans="1:24">
      <c r="A271" t="str">
        <f>Hyperlink("https://www.diodes.com/part/view/DMN16M8UCA6","DMN16M8UCA6")</f>
        <v>DMN16M8UCA6</v>
      </c>
      <c r="B271" t="str">
        <f>Hyperlink("https://www.diodes.com/assets/Datasheets/DMN16M8UCA6.pdf","DMN16M8UCA6 Datasheet")</f>
        <v>DMN16M8UCA6 Datasheet</v>
      </c>
      <c r="C271" t="s">
        <v>605</v>
      </c>
      <c r="D271" t="s">
        <v>25</v>
      </c>
      <c r="E271" t="s">
        <v>26</v>
      </c>
      <c r="F271" t="s">
        <v>27</v>
      </c>
      <c r="G271" t="s">
        <v>25</v>
      </c>
      <c r="H271">
        <v>12</v>
      </c>
      <c r="I271">
        <v>8</v>
      </c>
      <c r="J271">
        <v>15.5</v>
      </c>
      <c r="L271">
        <v>2.1</v>
      </c>
      <c r="O271">
        <v>5.6</v>
      </c>
      <c r="P271">
        <v>8.0</v>
      </c>
      <c r="R271">
        <v>0.5</v>
      </c>
      <c r="S271">
        <v>1.3</v>
      </c>
      <c r="T271">
        <v>45.4</v>
      </c>
      <c r="V271">
        <v>2333</v>
      </c>
      <c r="W271">
        <v>6</v>
      </c>
      <c r="X271" t="s">
        <v>571</v>
      </c>
    </row>
    <row r="272" spans="1:24">
      <c r="A272" t="str">
        <f>Hyperlink("https://www.diodes.com/part/view/DMN16M9UCA6","DMN16M9UCA6")</f>
        <v>DMN16M9UCA6</v>
      </c>
      <c r="B272" t="str">
        <f>Hyperlink("https://www.diodes.com/assets/Datasheets/DMN16M9UCA6.pdf","DMN16M9UCA6 Datasheet")</f>
        <v>DMN16M9UCA6 Datasheet</v>
      </c>
      <c r="C272" t="s">
        <v>560</v>
      </c>
      <c r="D272" t="s">
        <v>28</v>
      </c>
      <c r="E272" t="s">
        <v>26</v>
      </c>
      <c r="F272" t="s">
        <v>35</v>
      </c>
      <c r="G272" t="s">
        <v>25</v>
      </c>
      <c r="H272">
        <v>12</v>
      </c>
      <c r="I272">
        <v>12</v>
      </c>
      <c r="J272">
        <v>16.6</v>
      </c>
      <c r="L272">
        <v>2.4</v>
      </c>
      <c r="O272">
        <v>6.5</v>
      </c>
      <c r="P272">
        <v>11.4</v>
      </c>
      <c r="R272">
        <v>0.5</v>
      </c>
      <c r="S272">
        <v>1.3</v>
      </c>
      <c r="T272">
        <v>35.2</v>
      </c>
      <c r="V272">
        <v>2360</v>
      </c>
      <c r="W272">
        <v>6</v>
      </c>
      <c r="X272" t="s">
        <v>612</v>
      </c>
    </row>
    <row r="273" spans="1:24">
      <c r="A273" t="str">
        <f>Hyperlink("https://www.diodes.com/part/view/DMN2004DMK","DMN2004DMK")</f>
        <v>DMN2004DMK</v>
      </c>
      <c r="B273" t="str">
        <f>Hyperlink("https://www.diodes.com/assets/Datasheets/ds30937.pdf","DMN2004DMK Datasheet")</f>
        <v>DMN2004DMK Datasheet</v>
      </c>
      <c r="C273" t="s">
        <v>496</v>
      </c>
      <c r="D273" t="s">
        <v>25</v>
      </c>
      <c r="E273" t="s">
        <v>26</v>
      </c>
      <c r="F273" t="s">
        <v>35</v>
      </c>
      <c r="G273" t="s">
        <v>25</v>
      </c>
      <c r="H273">
        <v>20</v>
      </c>
      <c r="I273">
        <v>8</v>
      </c>
      <c r="J273">
        <v>0.54</v>
      </c>
      <c r="L273">
        <v>0.225</v>
      </c>
      <c r="O273">
        <v>550</v>
      </c>
      <c r="P273">
        <v>700</v>
      </c>
      <c r="Q273">
        <v>900</v>
      </c>
      <c r="R273">
        <v>0.5</v>
      </c>
      <c r="S273">
        <v>1</v>
      </c>
      <c r="V273">
        <v>87</v>
      </c>
      <c r="X273" t="s">
        <v>261</v>
      </c>
    </row>
    <row r="274" spans="1:24">
      <c r="A274" t="str">
        <f>Hyperlink("https://www.diodes.com/part/view/DMN2004DWK","DMN2004DWK")</f>
        <v>DMN2004DWK</v>
      </c>
      <c r="B274" t="str">
        <f>Hyperlink("https://www.diodes.com/assets/Datasheets/ds30935.pdf","DMN2004DWK Datasheet")</f>
        <v>DMN2004DWK Datasheet</v>
      </c>
      <c r="C274" t="s">
        <v>496</v>
      </c>
      <c r="D274" t="s">
        <v>25</v>
      </c>
      <c r="E274" t="s">
        <v>26</v>
      </c>
      <c r="F274" t="s">
        <v>35</v>
      </c>
      <c r="G274" t="s">
        <v>25</v>
      </c>
      <c r="H274">
        <v>20</v>
      </c>
      <c r="I274">
        <v>8</v>
      </c>
      <c r="J274">
        <v>0.54</v>
      </c>
      <c r="L274">
        <v>0.2</v>
      </c>
      <c r="O274">
        <v>550</v>
      </c>
      <c r="P274">
        <v>700</v>
      </c>
      <c r="Q274">
        <v>900</v>
      </c>
      <c r="R274">
        <v>0.5</v>
      </c>
      <c r="S274">
        <v>1</v>
      </c>
      <c r="T274">
        <v>0.53</v>
      </c>
      <c r="U274" t="s">
        <v>613</v>
      </c>
      <c r="V274">
        <v>87</v>
      </c>
      <c r="X274" t="s">
        <v>37</v>
      </c>
    </row>
    <row r="275" spans="1:24">
      <c r="A275" t="str">
        <f>Hyperlink("https://www.diodes.com/part/view/DMN2004K","DMN2004K")</f>
        <v>DMN2004K</v>
      </c>
      <c r="B275" t="str">
        <f>Hyperlink("https://www.diodes.com/assets/Datasheets/DMN2004K.pdf","DMN2004K Datasheet")</f>
        <v>DMN2004K Datasheet</v>
      </c>
      <c r="C275" t="s">
        <v>496</v>
      </c>
      <c r="D275" t="s">
        <v>25</v>
      </c>
      <c r="E275" t="s">
        <v>26</v>
      </c>
      <c r="F275" t="s">
        <v>27</v>
      </c>
      <c r="G275" t="s">
        <v>25</v>
      </c>
      <c r="H275">
        <v>20</v>
      </c>
      <c r="I275">
        <v>8</v>
      </c>
      <c r="J275">
        <v>0.63</v>
      </c>
      <c r="L275">
        <v>0.35</v>
      </c>
      <c r="O275">
        <v>550</v>
      </c>
      <c r="P275">
        <v>700</v>
      </c>
      <c r="Q275">
        <v>900</v>
      </c>
      <c r="R275">
        <v>0.5</v>
      </c>
      <c r="S275">
        <v>1</v>
      </c>
      <c r="T275">
        <v>0.9</v>
      </c>
      <c r="V275">
        <v>87</v>
      </c>
      <c r="X275" t="s">
        <v>32</v>
      </c>
    </row>
    <row r="276" spans="1:24">
      <c r="A276" t="str">
        <f>Hyperlink("https://www.diodes.com/part/view/DMN2004TK","DMN2004TK")</f>
        <v>DMN2004TK</v>
      </c>
      <c r="B276" t="str">
        <f>Hyperlink("https://www.diodes.com/assets/Datasheets/ds30936.pdf","DMN2004TK Datasheet")</f>
        <v>DMN2004TK Datasheet</v>
      </c>
      <c r="C276" t="s">
        <v>496</v>
      </c>
      <c r="D276" t="s">
        <v>25</v>
      </c>
      <c r="E276" t="s">
        <v>26</v>
      </c>
      <c r="F276" t="s">
        <v>27</v>
      </c>
      <c r="G276" t="s">
        <v>25</v>
      </c>
      <c r="H276">
        <v>20</v>
      </c>
      <c r="I276">
        <v>8</v>
      </c>
      <c r="J276">
        <v>0.54</v>
      </c>
      <c r="L276">
        <v>0.15</v>
      </c>
      <c r="O276">
        <v>550</v>
      </c>
      <c r="P276">
        <v>700</v>
      </c>
      <c r="Q276">
        <v>900</v>
      </c>
      <c r="R276">
        <v>0.5</v>
      </c>
      <c r="S276">
        <v>1</v>
      </c>
      <c r="V276">
        <v>87</v>
      </c>
      <c r="X276" t="s">
        <v>41</v>
      </c>
    </row>
    <row r="277" spans="1:24">
      <c r="A277" t="str">
        <f>Hyperlink("https://www.diodes.com/part/view/DMN2004VK","DMN2004VK")</f>
        <v>DMN2004VK</v>
      </c>
      <c r="B277" t="str">
        <f>Hyperlink("https://www.diodes.com/assets/Datasheets/DMN2004VK.pdf","DMN2004VK Datasheet")</f>
        <v>DMN2004VK Datasheet</v>
      </c>
      <c r="C277" t="s">
        <v>496</v>
      </c>
      <c r="D277" t="s">
        <v>25</v>
      </c>
      <c r="E277" t="s">
        <v>26</v>
      </c>
      <c r="F277" t="s">
        <v>35</v>
      </c>
      <c r="G277" t="s">
        <v>25</v>
      </c>
      <c r="H277">
        <v>20</v>
      </c>
      <c r="I277">
        <v>8</v>
      </c>
      <c r="J277">
        <v>0.54</v>
      </c>
      <c r="L277">
        <v>0.25</v>
      </c>
      <c r="O277">
        <v>550</v>
      </c>
      <c r="P277">
        <v>700</v>
      </c>
      <c r="Q277">
        <v>900</v>
      </c>
      <c r="R277">
        <v>0.5</v>
      </c>
      <c r="S277">
        <v>1</v>
      </c>
      <c r="V277">
        <v>87</v>
      </c>
      <c r="X277" t="s">
        <v>43</v>
      </c>
    </row>
    <row r="278" spans="1:24">
      <c r="A278" t="str">
        <f>Hyperlink("https://www.diodes.com/part/view/DMN2004WK","DMN2004WK")</f>
        <v>DMN2004WK</v>
      </c>
      <c r="B278" t="str">
        <f>Hyperlink("https://www.diodes.com/assets/Datasheets/ds30934.pdf","DMN2004WK Datasheet")</f>
        <v>DMN2004WK Datasheet</v>
      </c>
      <c r="C278" t="s">
        <v>496</v>
      </c>
      <c r="D278" t="s">
        <v>25</v>
      </c>
      <c r="E278" t="s">
        <v>26</v>
      </c>
      <c r="F278" t="s">
        <v>27</v>
      </c>
      <c r="G278" t="s">
        <v>25</v>
      </c>
      <c r="H278">
        <v>20</v>
      </c>
      <c r="I278">
        <v>8</v>
      </c>
      <c r="J278">
        <v>0.54</v>
      </c>
      <c r="L278">
        <v>0.2</v>
      </c>
      <c r="O278">
        <v>550</v>
      </c>
      <c r="P278">
        <v>700</v>
      </c>
      <c r="Q278">
        <v>900</v>
      </c>
      <c r="R278">
        <v>0.5</v>
      </c>
      <c r="S278">
        <v>1</v>
      </c>
      <c r="V278">
        <v>87</v>
      </c>
      <c r="X278" t="s">
        <v>60</v>
      </c>
    </row>
    <row r="279" spans="1:24">
      <c r="A279" t="str">
        <f>Hyperlink("https://www.diodes.com/part/view/DMN2004WKQ","DMN2004WKQ")</f>
        <v>DMN2004WKQ</v>
      </c>
      <c r="B279" t="str">
        <f>Hyperlink("https://www.diodes.com/assets/Datasheets/DMN2004WKQ.pdf","DMN2004WKQ Datasheet")</f>
        <v>DMN2004WKQ Datasheet</v>
      </c>
      <c r="C279" t="s">
        <v>24</v>
      </c>
      <c r="D279" t="s">
        <v>25</v>
      </c>
      <c r="E279" t="s">
        <v>33</v>
      </c>
      <c r="F279" t="s">
        <v>27</v>
      </c>
      <c r="G279" t="s">
        <v>25</v>
      </c>
      <c r="H279">
        <v>20</v>
      </c>
      <c r="I279">
        <v>8</v>
      </c>
      <c r="J279">
        <v>0.54</v>
      </c>
      <c r="L279">
        <v>0.2</v>
      </c>
      <c r="O279">
        <v>550</v>
      </c>
      <c r="P279">
        <v>700</v>
      </c>
      <c r="Q279">
        <v>900</v>
      </c>
      <c r="R279">
        <v>0.5</v>
      </c>
      <c r="S279">
        <v>1</v>
      </c>
      <c r="W279">
        <v>16</v>
      </c>
      <c r="X279" t="s">
        <v>60</v>
      </c>
    </row>
    <row r="280" spans="1:24">
      <c r="A280" t="str">
        <f>Hyperlink("https://www.diodes.com/part/view/DMN2005DLP4K","DMN2005DLP4K")</f>
        <v>DMN2005DLP4K</v>
      </c>
      <c r="B280" t="str">
        <f>Hyperlink("https://www.diodes.com/assets/Datasheets/ds30801.pdf","DMN2005DLP4K Datasheet")</f>
        <v>DMN2005DLP4K Datasheet</v>
      </c>
      <c r="C280" t="s">
        <v>496</v>
      </c>
      <c r="D280" t="s">
        <v>25</v>
      </c>
      <c r="E280" t="s">
        <v>26</v>
      </c>
      <c r="F280" t="s">
        <v>35</v>
      </c>
      <c r="G280" t="s">
        <v>25</v>
      </c>
      <c r="H280">
        <v>20</v>
      </c>
      <c r="I280">
        <v>10</v>
      </c>
      <c r="J280">
        <v>0.3</v>
      </c>
      <c r="L280">
        <v>0.4</v>
      </c>
      <c r="O280">
        <v>1500</v>
      </c>
      <c r="P280">
        <v>1700</v>
      </c>
      <c r="Q280">
        <v>3500</v>
      </c>
      <c r="R280">
        <v>0.53</v>
      </c>
      <c r="S280">
        <v>0.9</v>
      </c>
      <c r="V280">
        <v>37</v>
      </c>
      <c r="X280" t="s">
        <v>614</v>
      </c>
    </row>
    <row r="281" spans="1:24">
      <c r="A281" t="str">
        <f>Hyperlink("https://www.diodes.com/part/view/DMN2005K","DMN2005K")</f>
        <v>DMN2005K</v>
      </c>
      <c r="B281" t="str">
        <f>Hyperlink("https://www.diodes.com/assets/Datasheets/ds30734.pdf","DMN2005K Datasheet")</f>
        <v>DMN2005K Datasheet</v>
      </c>
      <c r="C281" t="s">
        <v>496</v>
      </c>
      <c r="D281" t="s">
        <v>25</v>
      </c>
      <c r="E281" t="s">
        <v>26</v>
      </c>
      <c r="F281" t="s">
        <v>27</v>
      </c>
      <c r="G281" t="s">
        <v>25</v>
      </c>
      <c r="H281">
        <v>20</v>
      </c>
      <c r="I281">
        <v>10</v>
      </c>
      <c r="J281">
        <v>0.3</v>
      </c>
      <c r="L281">
        <v>0.35</v>
      </c>
      <c r="P281">
        <v>1700</v>
      </c>
      <c r="Q281">
        <v>3500</v>
      </c>
      <c r="R281">
        <v>0.53</v>
      </c>
      <c r="S281">
        <v>0.9</v>
      </c>
      <c r="V281">
        <v>37</v>
      </c>
      <c r="X281" t="s">
        <v>32</v>
      </c>
    </row>
    <row r="282" spans="1:24">
      <c r="A282" t="str">
        <f>Hyperlink("https://www.diodes.com/part/view/DMN2005LP4K","DMN2005LP4K")</f>
        <v>DMN2005LP4K</v>
      </c>
      <c r="B282" t="str">
        <f>Hyperlink("https://www.diodes.com/assets/Datasheets/ds30799.pdf","DMN2005LP4K Datasheet")</f>
        <v>DMN2005LP4K Datasheet</v>
      </c>
      <c r="C282" t="s">
        <v>496</v>
      </c>
      <c r="D282" t="s">
        <v>25</v>
      </c>
      <c r="E282" t="s">
        <v>26</v>
      </c>
      <c r="F282" t="s">
        <v>27</v>
      </c>
      <c r="G282" t="s">
        <v>25</v>
      </c>
      <c r="H282">
        <v>20</v>
      </c>
      <c r="I282">
        <v>10</v>
      </c>
      <c r="J282">
        <v>0.3</v>
      </c>
      <c r="L282">
        <v>0.4</v>
      </c>
      <c r="O282">
        <v>1500</v>
      </c>
      <c r="P282">
        <v>1700</v>
      </c>
      <c r="Q282">
        <v>3500</v>
      </c>
      <c r="R282">
        <v>0.53</v>
      </c>
      <c r="S282">
        <v>0.9</v>
      </c>
      <c r="V282">
        <v>37</v>
      </c>
      <c r="X282" t="s">
        <v>615</v>
      </c>
    </row>
    <row r="283" spans="1:24">
      <c r="A283" t="str">
        <f>Hyperlink("https://www.diodes.com/part/view/DMN2005LPK","DMN2005LPK")</f>
        <v>DMN2005LPK</v>
      </c>
      <c r="B283" t="str">
        <f>Hyperlink("https://www.diodes.com/assets/Datasheets/ds30836.pdf","DMN2005LPK Datasheet")</f>
        <v>DMN2005LPK Datasheet</v>
      </c>
      <c r="C283" t="s">
        <v>496</v>
      </c>
      <c r="D283" t="s">
        <v>25</v>
      </c>
      <c r="E283" t="s">
        <v>26</v>
      </c>
      <c r="F283" t="s">
        <v>27</v>
      </c>
      <c r="G283" t="s">
        <v>25</v>
      </c>
      <c r="H283">
        <v>20</v>
      </c>
      <c r="I283">
        <v>10</v>
      </c>
      <c r="J283">
        <v>0.44</v>
      </c>
      <c r="L283">
        <v>0.45</v>
      </c>
      <c r="O283">
        <v>1500</v>
      </c>
      <c r="P283">
        <v>1700</v>
      </c>
      <c r="Q283">
        <v>3500</v>
      </c>
      <c r="R283">
        <v>0.53</v>
      </c>
      <c r="S283">
        <v>1.2</v>
      </c>
      <c r="V283">
        <v>37</v>
      </c>
      <c r="X283" t="s">
        <v>592</v>
      </c>
    </row>
    <row r="284" spans="1:24">
      <c r="A284" t="str">
        <f>Hyperlink("https://www.diodes.com/part/view/DMN2005UFG","DMN2005UFG")</f>
        <v>DMN2005UFG</v>
      </c>
      <c r="B284" t="str">
        <f>Hyperlink("https://www.diodes.com/assets/Datasheets/DMN2005UFG.pdf","DMN2005UFG Datasheet")</f>
        <v>DMN2005UFG Datasheet</v>
      </c>
      <c r="C284" t="s">
        <v>496</v>
      </c>
      <c r="D284" t="s">
        <v>25</v>
      </c>
      <c r="E284" t="s">
        <v>26</v>
      </c>
      <c r="F284" t="s">
        <v>27</v>
      </c>
      <c r="G284" t="s">
        <v>28</v>
      </c>
      <c r="H284">
        <v>20</v>
      </c>
      <c r="I284">
        <v>12</v>
      </c>
      <c r="J284">
        <v>18</v>
      </c>
      <c r="K284">
        <v>50</v>
      </c>
      <c r="L284">
        <v>2.27</v>
      </c>
      <c r="O284">
        <v>4.6</v>
      </c>
      <c r="P284">
        <v>8.7</v>
      </c>
      <c r="R284">
        <v>0.4</v>
      </c>
      <c r="S284">
        <v>1.2</v>
      </c>
      <c r="T284">
        <v>68.8</v>
      </c>
      <c r="U284">
        <v>164</v>
      </c>
      <c r="V284">
        <v>6495</v>
      </c>
      <c r="X284" t="s">
        <v>529</v>
      </c>
    </row>
    <row r="285" spans="1:24">
      <c r="A285" t="str">
        <f>Hyperlink("https://www.diodes.com/part/view/DMN2005UFGQ","DMN2005UFGQ")</f>
        <v>DMN2005UFGQ</v>
      </c>
      <c r="B285" t="str">
        <f>Hyperlink("https://www.diodes.com/assets/Datasheets/DMN2005UFGQ.pdf","DMN2005UFGQ Datasheet")</f>
        <v>DMN2005UFGQ Datasheet</v>
      </c>
      <c r="C285" t="s">
        <v>616</v>
      </c>
      <c r="D285" t="s">
        <v>25</v>
      </c>
      <c r="E285" t="s">
        <v>33</v>
      </c>
      <c r="F285" t="s">
        <v>27</v>
      </c>
      <c r="G285" t="s">
        <v>28</v>
      </c>
      <c r="H285">
        <v>20</v>
      </c>
      <c r="I285">
        <v>12</v>
      </c>
      <c r="J285">
        <v>18</v>
      </c>
      <c r="L285">
        <v>2.27</v>
      </c>
      <c r="O285">
        <v>4.6</v>
      </c>
      <c r="P285">
        <v>8.7</v>
      </c>
      <c r="R285">
        <v>0.4</v>
      </c>
      <c r="S285">
        <v>1.2</v>
      </c>
      <c r="T285">
        <v>68.8</v>
      </c>
      <c r="U285">
        <v>164</v>
      </c>
      <c r="V285">
        <v>6495</v>
      </c>
      <c r="W285">
        <v>10</v>
      </c>
      <c r="X285" t="s">
        <v>529</v>
      </c>
    </row>
    <row r="286" spans="1:24">
      <c r="A286" t="str">
        <f>Hyperlink("https://www.diodes.com/part/view/DMN2005UPS","DMN2005UPS")</f>
        <v>DMN2005UPS</v>
      </c>
      <c r="B286" t="str">
        <f>Hyperlink("https://www.diodes.com/assets/Datasheets/DMN2005UPS.pdf","DMN2005UPS Datasheet")</f>
        <v>DMN2005UPS Datasheet</v>
      </c>
      <c r="C286" t="s">
        <v>616</v>
      </c>
      <c r="D286" t="s">
        <v>25</v>
      </c>
      <c r="E286" t="s">
        <v>26</v>
      </c>
      <c r="F286" t="s">
        <v>27</v>
      </c>
      <c r="G286" t="s">
        <v>28</v>
      </c>
      <c r="H286">
        <v>20</v>
      </c>
      <c r="I286">
        <v>12</v>
      </c>
      <c r="J286">
        <v>20</v>
      </c>
      <c r="L286">
        <v>2.5</v>
      </c>
      <c r="O286">
        <v>4.6</v>
      </c>
      <c r="P286">
        <v>8.7</v>
      </c>
      <c r="S286">
        <v>1.2</v>
      </c>
      <c r="T286">
        <v>60</v>
      </c>
      <c r="U286">
        <v>142</v>
      </c>
      <c r="V286">
        <v>5337</v>
      </c>
      <c r="W286">
        <v>10</v>
      </c>
      <c r="X286" t="s">
        <v>617</v>
      </c>
    </row>
    <row r="287" spans="1:24">
      <c r="A287" t="str">
        <f>Hyperlink("https://www.diodes.com/part/view/DMN2008LFU","DMN2008LFU")</f>
        <v>DMN2008LFU</v>
      </c>
      <c r="B287" t="str">
        <f>Hyperlink("https://www.diodes.com/assets/Datasheets/DMN2008LFU.pdf","DMN2008LFU Datasheet")</f>
        <v>DMN2008LFU Datasheet</v>
      </c>
      <c r="C287" t="s">
        <v>34</v>
      </c>
      <c r="D287" t="s">
        <v>28</v>
      </c>
      <c r="E287" t="s">
        <v>26</v>
      </c>
      <c r="F287" t="s">
        <v>35</v>
      </c>
      <c r="G287" t="s">
        <v>25</v>
      </c>
      <c r="H287">
        <v>20</v>
      </c>
      <c r="I287">
        <v>12</v>
      </c>
      <c r="J287">
        <v>14.5</v>
      </c>
      <c r="L287">
        <v>1.7</v>
      </c>
      <c r="O287">
        <v>5.4</v>
      </c>
      <c r="P287">
        <v>9.6</v>
      </c>
      <c r="R287">
        <v>0.5</v>
      </c>
      <c r="S287">
        <v>1.5</v>
      </c>
      <c r="T287">
        <v>18.7</v>
      </c>
      <c r="U287">
        <v>42.3</v>
      </c>
      <c r="V287">
        <v>1418</v>
      </c>
      <c r="W287">
        <v>10</v>
      </c>
      <c r="X287" t="s">
        <v>618</v>
      </c>
    </row>
    <row r="288" spans="1:24">
      <c r="A288" t="str">
        <f>Hyperlink("https://www.diodes.com/part/view/DMN2009LSS","DMN2009LSS")</f>
        <v>DMN2009LSS</v>
      </c>
      <c r="B288" t="str">
        <f>Hyperlink("https://www.diodes.com/assets/Datasheets/ds31409.pdf","DMN2009LSS Datasheet")</f>
        <v>DMN2009LSS Datasheet</v>
      </c>
      <c r="C288" t="s">
        <v>496</v>
      </c>
      <c r="D288" t="s">
        <v>25</v>
      </c>
      <c r="E288" t="s">
        <v>26</v>
      </c>
      <c r="F288" t="s">
        <v>27</v>
      </c>
      <c r="G288" t="s">
        <v>28</v>
      </c>
      <c r="H288">
        <v>20</v>
      </c>
      <c r="I288">
        <v>12</v>
      </c>
      <c r="J288">
        <v>12</v>
      </c>
      <c r="L288">
        <v>2</v>
      </c>
      <c r="N288">
        <v>8</v>
      </c>
      <c r="O288">
        <v>9</v>
      </c>
      <c r="P288">
        <v>12</v>
      </c>
      <c r="R288">
        <v>0.5</v>
      </c>
      <c r="S288">
        <v>1.2</v>
      </c>
      <c r="T288">
        <v>28.9</v>
      </c>
      <c r="U288">
        <v>58.3</v>
      </c>
      <c r="V288">
        <v>2555</v>
      </c>
      <c r="X288" t="s">
        <v>155</v>
      </c>
    </row>
    <row r="289" spans="1:24">
      <c r="A289" t="str">
        <f>Hyperlink("https://www.diodes.com/part/view/DMN2009UCA4","DMN2009UCA4")</f>
        <v>DMN2009UCA4</v>
      </c>
      <c r="B289" t="str">
        <f>Hyperlink("https://www.diodes.com/assets/Datasheets/DMN2009UCA4.pdf","DMN2009UCA4 Datasheet")</f>
        <v>DMN2009UCA4 Datasheet</v>
      </c>
      <c r="C289" t="s">
        <v>24</v>
      </c>
      <c r="D289" t="s">
        <v>28</v>
      </c>
      <c r="E289" t="s">
        <v>26</v>
      </c>
      <c r="F289" t="s">
        <v>35</v>
      </c>
      <c r="G289" t="s">
        <v>25</v>
      </c>
      <c r="H289">
        <v>20</v>
      </c>
      <c r="I289">
        <v>8</v>
      </c>
      <c r="J289">
        <v>10.3</v>
      </c>
      <c r="L289">
        <v>1.9</v>
      </c>
      <c r="O289">
        <v>11.9</v>
      </c>
      <c r="P289">
        <v>23</v>
      </c>
      <c r="R289">
        <v>0.35</v>
      </c>
      <c r="S289">
        <v>1.4</v>
      </c>
      <c r="V289">
        <v>1780</v>
      </c>
      <c r="W289">
        <v>10</v>
      </c>
      <c r="X289" t="s">
        <v>619</v>
      </c>
    </row>
    <row r="290" spans="1:24">
      <c r="A290" t="str">
        <f>Hyperlink("https://www.diodes.com/part/view/DMN2009UFDF","DMN2009UFDF")</f>
        <v>DMN2009UFDF</v>
      </c>
      <c r="B290" t="str">
        <f>Hyperlink("https://www.diodes.com/assets/Datasheets/DMN2009UFDF.pdf","DMN2009UFDF Datasheet")</f>
        <v>DMN2009UFDF Datasheet</v>
      </c>
      <c r="C290" t="s">
        <v>616</v>
      </c>
      <c r="D290" t="s">
        <v>28</v>
      </c>
      <c r="E290" t="s">
        <v>26</v>
      </c>
      <c r="F290" t="s">
        <v>27</v>
      </c>
      <c r="G290" t="s">
        <v>28</v>
      </c>
      <c r="H290">
        <v>20</v>
      </c>
      <c r="I290">
        <v>12</v>
      </c>
      <c r="J290">
        <v>12.8</v>
      </c>
      <c r="L290">
        <v>1.7</v>
      </c>
      <c r="O290">
        <v>9</v>
      </c>
      <c r="P290">
        <v>13</v>
      </c>
      <c r="R290">
        <v>0.5</v>
      </c>
      <c r="S290">
        <v>1.4</v>
      </c>
      <c r="T290">
        <v>12.7</v>
      </c>
      <c r="U290">
        <v>27.9</v>
      </c>
      <c r="V290">
        <v>1083</v>
      </c>
      <c r="W290">
        <v>10</v>
      </c>
      <c r="X290" t="s">
        <v>568</v>
      </c>
    </row>
    <row r="291" spans="1:24">
      <c r="A291" t="str">
        <f>Hyperlink("https://www.diodes.com/part/view/DMN2009USS","DMN2009USS")</f>
        <v>DMN2009USS</v>
      </c>
      <c r="B291" t="str">
        <f>Hyperlink("https://www.diodes.com/assets/Datasheets/DMN2009USS.pdf","DMN2009USS Datasheet")</f>
        <v>DMN2009USS Datasheet</v>
      </c>
      <c r="C291" t="s">
        <v>616</v>
      </c>
      <c r="D291" t="s">
        <v>28</v>
      </c>
      <c r="E291" t="s">
        <v>26</v>
      </c>
      <c r="F291" t="s">
        <v>27</v>
      </c>
      <c r="G291" t="s">
        <v>28</v>
      </c>
      <c r="H291">
        <v>20</v>
      </c>
      <c r="I291">
        <v>12</v>
      </c>
      <c r="J291">
        <v>12.8</v>
      </c>
      <c r="L291">
        <v>2</v>
      </c>
      <c r="N291">
        <v>8</v>
      </c>
      <c r="O291">
        <v>9</v>
      </c>
      <c r="P291">
        <v>12</v>
      </c>
      <c r="R291">
        <v>0.5</v>
      </c>
      <c r="S291">
        <v>1.2</v>
      </c>
      <c r="T291">
        <v>16</v>
      </c>
      <c r="U291">
        <v>34</v>
      </c>
      <c r="V291">
        <v>1706</v>
      </c>
      <c r="W291">
        <v>10</v>
      </c>
      <c r="X291" t="s">
        <v>155</v>
      </c>
    </row>
    <row r="292" spans="1:24">
      <c r="A292" t="str">
        <f>Hyperlink("https://www.diodes.com/part/view/DMN2011UCA6","DMN2011UCA6")</f>
        <v>DMN2011UCA6</v>
      </c>
      <c r="B292" t="str">
        <f>Hyperlink("https://www.diodes.com/assets/Datasheets/DMN2011UCA6.pdf","DMN2011UCA6 Datasheet")</f>
        <v>DMN2011UCA6 Datasheet</v>
      </c>
      <c r="C292" t="s">
        <v>605</v>
      </c>
      <c r="D292" t="s">
        <v>28</v>
      </c>
      <c r="E292" t="s">
        <v>26</v>
      </c>
      <c r="F292" t="s">
        <v>27</v>
      </c>
      <c r="G292" t="s">
        <v>25</v>
      </c>
      <c r="H292">
        <v>22</v>
      </c>
      <c r="I292">
        <v>12</v>
      </c>
      <c r="J292">
        <v>9</v>
      </c>
      <c r="L292">
        <v>2.1</v>
      </c>
      <c r="O292">
        <v>6.5</v>
      </c>
      <c r="P292">
        <v>12</v>
      </c>
      <c r="R292">
        <v>0.4</v>
      </c>
      <c r="S292">
        <v>1.3</v>
      </c>
      <c r="T292">
        <v>20</v>
      </c>
      <c r="V292">
        <v>1580</v>
      </c>
      <c r="W292">
        <v>12</v>
      </c>
      <c r="X292" t="s">
        <v>620</v>
      </c>
    </row>
    <row r="293" spans="1:24">
      <c r="A293" t="str">
        <f>Hyperlink("https://www.diodes.com/part/view/DMN2011UFDE","DMN2011UFDE")</f>
        <v>DMN2011UFDE</v>
      </c>
      <c r="B293" t="str">
        <f>Hyperlink("https://www.diodes.com/assets/Datasheets/DMN2011UFDE.pdf","DMN2011UFDE Datasheet")</f>
        <v>DMN2011UFDE Datasheet</v>
      </c>
      <c r="C293" t="s">
        <v>496</v>
      </c>
      <c r="D293" t="s">
        <v>25</v>
      </c>
      <c r="E293" t="s">
        <v>26</v>
      </c>
      <c r="F293" t="s">
        <v>27</v>
      </c>
      <c r="G293" t="s">
        <v>25</v>
      </c>
      <c r="H293">
        <v>20</v>
      </c>
      <c r="I293">
        <v>12</v>
      </c>
      <c r="J293">
        <v>11.7</v>
      </c>
      <c r="L293">
        <v>1.97</v>
      </c>
      <c r="O293">
        <v>9.5</v>
      </c>
      <c r="P293">
        <v>11</v>
      </c>
      <c r="Q293">
        <v>20</v>
      </c>
      <c r="R293">
        <v>0.4</v>
      </c>
      <c r="S293">
        <v>1</v>
      </c>
      <c r="T293">
        <v>24</v>
      </c>
      <c r="U293">
        <v>56</v>
      </c>
      <c r="V293">
        <v>2248</v>
      </c>
      <c r="X293" t="s">
        <v>567</v>
      </c>
    </row>
    <row r="294" spans="1:24">
      <c r="A294" t="str">
        <f>Hyperlink("https://www.diodes.com/part/view/DMN2011UFDF","DMN2011UFDF")</f>
        <v>DMN2011UFDF</v>
      </c>
      <c r="B294" t="str">
        <f>Hyperlink("https://www.diodes.com/assets/Datasheets/DMN2011UFDF.pdf","DMN2011UFDF Datasheet")</f>
        <v>DMN2011UFDF Datasheet</v>
      </c>
      <c r="C294" t="s">
        <v>616</v>
      </c>
      <c r="D294" t="s">
        <v>25</v>
      </c>
      <c r="E294" t="s">
        <v>26</v>
      </c>
      <c r="F294" t="s">
        <v>27</v>
      </c>
      <c r="G294" t="s">
        <v>25</v>
      </c>
      <c r="H294">
        <v>20</v>
      </c>
      <c r="I294">
        <v>12</v>
      </c>
      <c r="J294">
        <v>11.7</v>
      </c>
      <c r="L294">
        <v>2.1</v>
      </c>
      <c r="O294">
        <v>9.5</v>
      </c>
      <c r="P294">
        <v>11</v>
      </c>
      <c r="Q294">
        <v>20</v>
      </c>
      <c r="R294">
        <v>0.4</v>
      </c>
      <c r="S294">
        <v>1</v>
      </c>
      <c r="T294">
        <v>24</v>
      </c>
      <c r="U294">
        <v>56</v>
      </c>
      <c r="V294">
        <v>2248</v>
      </c>
      <c r="W294">
        <v>10</v>
      </c>
      <c r="X294" t="s">
        <v>568</v>
      </c>
    </row>
    <row r="295" spans="1:24">
      <c r="A295" t="str">
        <f>Hyperlink("https://www.diodes.com/part/view/DMN2011UFX","DMN2011UFX")</f>
        <v>DMN2011UFX</v>
      </c>
      <c r="B295" t="str">
        <f>Hyperlink("https://www.diodes.com/assets/Datasheets/DMN2011UFX.pdf","DMN2011UFX Datasheet")</f>
        <v>DMN2011UFX Datasheet</v>
      </c>
      <c r="C295" t="s">
        <v>496</v>
      </c>
      <c r="D295" t="s">
        <v>25</v>
      </c>
      <c r="E295" t="s">
        <v>26</v>
      </c>
      <c r="F295" t="s">
        <v>35</v>
      </c>
      <c r="G295" t="s">
        <v>25</v>
      </c>
      <c r="H295">
        <v>20</v>
      </c>
      <c r="I295">
        <v>12</v>
      </c>
      <c r="J295">
        <v>12.2</v>
      </c>
      <c r="L295">
        <v>2.1</v>
      </c>
      <c r="O295">
        <v>9.5</v>
      </c>
      <c r="P295">
        <v>13</v>
      </c>
      <c r="R295">
        <v>0.3</v>
      </c>
      <c r="S295">
        <v>1</v>
      </c>
      <c r="T295">
        <v>24</v>
      </c>
      <c r="U295">
        <v>56</v>
      </c>
      <c r="V295">
        <v>2248</v>
      </c>
      <c r="X295" t="s">
        <v>621</v>
      </c>
    </row>
    <row r="296" spans="1:24">
      <c r="A296" t="str">
        <f>Hyperlink("https://www.diodes.com/part/view/DMN2011UTS","DMN2011UTS")</f>
        <v>DMN2011UTS</v>
      </c>
      <c r="B296" t="str">
        <f>Hyperlink("https://www.diodes.com/assets/Datasheets/DMN2011UTS.pdf","DMN2011UTS Datasheet")</f>
        <v>DMN2011UTS Datasheet</v>
      </c>
      <c r="C296" t="s">
        <v>24</v>
      </c>
      <c r="D296" t="s">
        <v>25</v>
      </c>
      <c r="E296" t="s">
        <v>26</v>
      </c>
      <c r="F296" t="s">
        <v>27</v>
      </c>
      <c r="G296" t="s">
        <v>25</v>
      </c>
      <c r="H296">
        <v>20</v>
      </c>
      <c r="I296">
        <v>12</v>
      </c>
      <c r="J296">
        <v>9</v>
      </c>
      <c r="L296">
        <v>1.3</v>
      </c>
      <c r="O296">
        <v>11</v>
      </c>
      <c r="P296">
        <v>13</v>
      </c>
      <c r="Q296">
        <v>25</v>
      </c>
      <c r="R296">
        <v>0.4</v>
      </c>
      <c r="S296">
        <v>1</v>
      </c>
      <c r="T296">
        <v>24</v>
      </c>
      <c r="U296">
        <v>56</v>
      </c>
      <c r="V296">
        <v>2248</v>
      </c>
      <c r="W296">
        <v>10</v>
      </c>
      <c r="X296" t="s">
        <v>528</v>
      </c>
    </row>
    <row r="297" spans="1:24">
      <c r="A297" t="str">
        <f>Hyperlink("https://www.diodes.com/part/view/DMN2012UCA6","DMN2012UCA6")</f>
        <v>DMN2012UCA6</v>
      </c>
      <c r="B297" t="str">
        <f>Hyperlink("https://www.diodes.com/assets/Datasheets/DMN2012UCA6.pdf","DMN2012UCA6 Datasheet")</f>
        <v>DMN2012UCA6 Datasheet</v>
      </c>
      <c r="C297" t="s">
        <v>24</v>
      </c>
      <c r="D297" t="s">
        <v>28</v>
      </c>
      <c r="E297" t="s">
        <v>26</v>
      </c>
      <c r="F297" t="s">
        <v>35</v>
      </c>
      <c r="G297" t="s">
        <v>25</v>
      </c>
      <c r="H297">
        <v>24</v>
      </c>
      <c r="I297">
        <v>12</v>
      </c>
      <c r="J297">
        <v>13</v>
      </c>
      <c r="L297">
        <v>2.3</v>
      </c>
      <c r="O297">
        <v>9</v>
      </c>
      <c r="P297">
        <v>13</v>
      </c>
      <c r="R297">
        <v>0.5</v>
      </c>
      <c r="S297">
        <v>1.3</v>
      </c>
      <c r="V297">
        <v>2417</v>
      </c>
      <c r="W297">
        <v>10</v>
      </c>
      <c r="X297" t="s">
        <v>571</v>
      </c>
    </row>
    <row r="298" spans="1:24">
      <c r="A298" t="str">
        <f>Hyperlink("https://www.diodes.com/part/view/DMN2013UFDE","DMN2013UFDE")</f>
        <v>DMN2013UFDE</v>
      </c>
      <c r="B298" t="str">
        <f>Hyperlink("https://www.diodes.com/assets/Datasheets/DMN2013UFDE.pdf","DMN2013UFDE Datasheet")</f>
        <v>DMN2013UFDE Datasheet</v>
      </c>
      <c r="C298" t="s">
        <v>496</v>
      </c>
      <c r="D298" t="s">
        <v>25</v>
      </c>
      <c r="E298" t="s">
        <v>26</v>
      </c>
      <c r="F298" t="s">
        <v>27</v>
      </c>
      <c r="G298" t="s">
        <v>25</v>
      </c>
      <c r="H298">
        <v>20</v>
      </c>
      <c r="I298">
        <v>8</v>
      </c>
      <c r="J298">
        <v>10.5</v>
      </c>
      <c r="L298">
        <v>2.03</v>
      </c>
      <c r="O298">
        <v>11</v>
      </c>
      <c r="P298">
        <v>13</v>
      </c>
      <c r="Q298">
        <v>30</v>
      </c>
      <c r="R298">
        <v>0.5</v>
      </c>
      <c r="S298">
        <v>1.1</v>
      </c>
      <c r="T298">
        <v>14.3</v>
      </c>
      <c r="U298" t="s">
        <v>622</v>
      </c>
      <c r="V298">
        <v>2453</v>
      </c>
      <c r="X298" t="s">
        <v>567</v>
      </c>
    </row>
    <row r="299" spans="1:24">
      <c r="A299" t="str">
        <f>Hyperlink("https://www.diodes.com/part/view/DMN2013UFDEQ","DMN2013UFDEQ")</f>
        <v>DMN2013UFDEQ</v>
      </c>
      <c r="B299" t="str">
        <f>Hyperlink("https://www.diodes.com/assets/Datasheets/DMN2013UFDEQ.pdf","DMN2013UFDEQ Datasheet")</f>
        <v>DMN2013UFDEQ Datasheet</v>
      </c>
      <c r="C299" t="s">
        <v>616</v>
      </c>
      <c r="D299" t="s">
        <v>25</v>
      </c>
      <c r="E299" t="s">
        <v>33</v>
      </c>
      <c r="F299" t="s">
        <v>27</v>
      </c>
      <c r="G299" t="s">
        <v>25</v>
      </c>
      <c r="H299">
        <v>20</v>
      </c>
      <c r="I299">
        <v>8</v>
      </c>
      <c r="J299">
        <v>10.5</v>
      </c>
      <c r="L299">
        <v>1.31</v>
      </c>
      <c r="O299">
        <v>11</v>
      </c>
      <c r="P299">
        <v>13</v>
      </c>
      <c r="Q299">
        <v>30</v>
      </c>
      <c r="R299">
        <v>0.5</v>
      </c>
      <c r="S299">
        <v>1.1</v>
      </c>
      <c r="T299">
        <v>14.3</v>
      </c>
      <c r="V299">
        <v>2453</v>
      </c>
      <c r="W299">
        <v>10</v>
      </c>
      <c r="X299" t="s">
        <v>567</v>
      </c>
    </row>
    <row r="300" spans="1:24">
      <c r="A300" t="str">
        <f>Hyperlink("https://www.diodes.com/part/view/DMN2013UFX","DMN2013UFX")</f>
        <v>DMN2013UFX</v>
      </c>
      <c r="B300" t="str">
        <f>Hyperlink("https://www.diodes.com/assets/Datasheets/DMN2013UFX.pdf","DMN2013UFX Datasheet")</f>
        <v>DMN2013UFX Datasheet</v>
      </c>
      <c r="C300" t="s">
        <v>496</v>
      </c>
      <c r="D300" t="s">
        <v>25</v>
      </c>
      <c r="E300" t="s">
        <v>26</v>
      </c>
      <c r="F300" t="s">
        <v>35</v>
      </c>
      <c r="G300" t="s">
        <v>25</v>
      </c>
      <c r="H300">
        <v>20</v>
      </c>
      <c r="I300">
        <v>8</v>
      </c>
      <c r="J300">
        <v>10</v>
      </c>
      <c r="L300">
        <v>2.14</v>
      </c>
      <c r="O300">
        <v>11.5</v>
      </c>
      <c r="P300">
        <v>14</v>
      </c>
      <c r="R300">
        <v>0.5</v>
      </c>
      <c r="S300">
        <v>1.1</v>
      </c>
      <c r="T300">
        <v>32.4</v>
      </c>
      <c r="U300" t="s">
        <v>623</v>
      </c>
      <c r="V300">
        <v>2607</v>
      </c>
      <c r="X300" t="s">
        <v>518</v>
      </c>
    </row>
    <row r="301" spans="1:24">
      <c r="A301" t="str">
        <f>Hyperlink("https://www.diodes.com/part/view/DMN2014LHAB","DMN2014LHAB")</f>
        <v>DMN2014LHAB</v>
      </c>
      <c r="B301" t="str">
        <f>Hyperlink("https://www.diodes.com/assets/Datasheets/DMN2014LHAB.pdf","DMN2014LHAB Datasheet")</f>
        <v>DMN2014LHAB Datasheet</v>
      </c>
      <c r="C301" t="s">
        <v>496</v>
      </c>
      <c r="D301" t="s">
        <v>25</v>
      </c>
      <c r="E301" t="s">
        <v>26</v>
      </c>
      <c r="F301" t="s">
        <v>35</v>
      </c>
      <c r="G301" t="s">
        <v>25</v>
      </c>
      <c r="H301">
        <v>20</v>
      </c>
      <c r="I301">
        <v>12</v>
      </c>
      <c r="J301">
        <v>9</v>
      </c>
      <c r="L301">
        <v>1.7</v>
      </c>
      <c r="O301">
        <v>13</v>
      </c>
      <c r="P301">
        <v>18</v>
      </c>
      <c r="Q301">
        <v>28</v>
      </c>
      <c r="R301">
        <v>0.3</v>
      </c>
      <c r="S301">
        <v>1.1</v>
      </c>
      <c r="T301">
        <v>16</v>
      </c>
      <c r="U301">
        <v>37</v>
      </c>
      <c r="V301">
        <v>1550</v>
      </c>
      <c r="X301" t="s">
        <v>618</v>
      </c>
    </row>
    <row r="302" spans="1:24">
      <c r="A302" t="str">
        <f>Hyperlink("https://www.diodes.com/part/view/DMN2015UFDE","DMN2015UFDE")</f>
        <v>DMN2015UFDE</v>
      </c>
      <c r="B302" t="str">
        <f>Hyperlink("https://www.diodes.com/assets/Datasheets/DMN2015UFDE.pdf","DMN2015UFDE Datasheet")</f>
        <v>DMN2015UFDE Datasheet</v>
      </c>
      <c r="C302" t="s">
        <v>496</v>
      </c>
      <c r="D302" t="s">
        <v>25</v>
      </c>
      <c r="E302" t="s">
        <v>26</v>
      </c>
      <c r="F302" t="s">
        <v>27</v>
      </c>
      <c r="G302" t="s">
        <v>25</v>
      </c>
      <c r="H302">
        <v>20</v>
      </c>
      <c r="I302">
        <v>12</v>
      </c>
      <c r="J302">
        <v>10.5</v>
      </c>
      <c r="L302">
        <v>2.03</v>
      </c>
      <c r="O302">
        <v>11.6</v>
      </c>
      <c r="P302">
        <v>15</v>
      </c>
      <c r="Q302">
        <v>30</v>
      </c>
      <c r="R302">
        <v>0.5</v>
      </c>
      <c r="S302">
        <v>1.1</v>
      </c>
      <c r="T302">
        <v>19.7</v>
      </c>
      <c r="U302">
        <v>45.6</v>
      </c>
      <c r="V302">
        <v>1779</v>
      </c>
      <c r="X302" t="s">
        <v>567</v>
      </c>
    </row>
    <row r="303" spans="1:24">
      <c r="A303" t="str">
        <f>Hyperlink("https://www.diodes.com/part/view/DMN2015UFDF","DMN2015UFDF")</f>
        <v>DMN2015UFDF</v>
      </c>
      <c r="B303" t="str">
        <f>Hyperlink("https://www.diodes.com/assets/Datasheets/DMN2015UFDF.pdf","DMN2015UFDF Datasheet")</f>
        <v>DMN2015UFDF Datasheet</v>
      </c>
      <c r="C303" t="s">
        <v>616</v>
      </c>
      <c r="D303" t="s">
        <v>25</v>
      </c>
      <c r="E303" t="s">
        <v>26</v>
      </c>
      <c r="F303" t="s">
        <v>27</v>
      </c>
      <c r="G303" t="s">
        <v>28</v>
      </c>
      <c r="H303">
        <v>20</v>
      </c>
      <c r="I303">
        <v>12</v>
      </c>
      <c r="J303">
        <v>11.6</v>
      </c>
      <c r="L303">
        <v>1.8</v>
      </c>
      <c r="O303">
        <v>9</v>
      </c>
      <c r="P303">
        <v>15</v>
      </c>
      <c r="Q303">
        <v>30</v>
      </c>
      <c r="R303">
        <v>0.4</v>
      </c>
      <c r="S303">
        <v>1.2</v>
      </c>
      <c r="T303">
        <v>19.3</v>
      </c>
      <c r="U303">
        <v>42.3</v>
      </c>
      <c r="V303">
        <v>1439</v>
      </c>
      <c r="W303">
        <v>10</v>
      </c>
      <c r="X303" t="s">
        <v>568</v>
      </c>
    </row>
    <row r="304" spans="1:24">
      <c r="A304" t="str">
        <f>Hyperlink("https://www.diodes.com/part/view/DMN2016LFG","DMN2016LFG")</f>
        <v>DMN2016LFG</v>
      </c>
      <c r="B304" t="str">
        <f>Hyperlink("https://www.diodes.com/assets/Datasheets/ds32053.pdf","DMN2016LFG Datasheet")</f>
        <v>DMN2016LFG Datasheet</v>
      </c>
      <c r="C304" t="s">
        <v>496</v>
      </c>
      <c r="D304" t="s">
        <v>25</v>
      </c>
      <c r="E304" t="s">
        <v>26</v>
      </c>
      <c r="F304" t="s">
        <v>35</v>
      </c>
      <c r="G304" t="s">
        <v>25</v>
      </c>
      <c r="H304">
        <v>20</v>
      </c>
      <c r="I304">
        <v>8</v>
      </c>
      <c r="J304">
        <v>5.2</v>
      </c>
      <c r="L304">
        <v>0.77</v>
      </c>
      <c r="O304">
        <v>18</v>
      </c>
      <c r="P304">
        <v>22</v>
      </c>
      <c r="Q304">
        <v>30</v>
      </c>
      <c r="R304">
        <v>0.4</v>
      </c>
      <c r="S304">
        <v>1.1</v>
      </c>
      <c r="T304">
        <v>16</v>
      </c>
      <c r="U304">
        <v>37</v>
      </c>
      <c r="V304">
        <v>1472</v>
      </c>
      <c r="X304" t="s">
        <v>506</v>
      </c>
    </row>
    <row r="305" spans="1:24">
      <c r="A305" t="str">
        <f>Hyperlink("https://www.diodes.com/part/view/DMN2016LHAB","DMN2016LHAB")</f>
        <v>DMN2016LHAB</v>
      </c>
      <c r="B305" t="str">
        <f>Hyperlink("https://www.diodes.com/assets/Datasheets/DMN2016LHAB.pdf","DMN2016LHAB Datasheet")</f>
        <v>DMN2016LHAB Datasheet</v>
      </c>
      <c r="C305" t="s">
        <v>496</v>
      </c>
      <c r="D305" t="s">
        <v>25</v>
      </c>
      <c r="E305" t="s">
        <v>26</v>
      </c>
      <c r="F305" t="s">
        <v>35</v>
      </c>
      <c r="G305" t="s">
        <v>25</v>
      </c>
      <c r="H305">
        <v>20</v>
      </c>
      <c r="I305">
        <v>12</v>
      </c>
      <c r="J305">
        <v>7.5</v>
      </c>
      <c r="L305">
        <v>1.65</v>
      </c>
      <c r="O305">
        <v>15.5</v>
      </c>
      <c r="P305">
        <v>20</v>
      </c>
      <c r="Q305">
        <v>30</v>
      </c>
      <c r="R305">
        <v>0.5</v>
      </c>
      <c r="S305">
        <v>1.1</v>
      </c>
      <c r="T305">
        <v>16</v>
      </c>
      <c r="U305">
        <v>37</v>
      </c>
      <c r="V305">
        <v>1550</v>
      </c>
      <c r="X305" t="s">
        <v>618</v>
      </c>
    </row>
    <row r="306" spans="1:24">
      <c r="A306" t="str">
        <f>Hyperlink("https://www.diodes.com/part/view/DMN2016UFX","DMN2016UFX")</f>
        <v>DMN2016UFX</v>
      </c>
      <c r="B306" t="str">
        <f>Hyperlink("https://www.diodes.com/assets/Datasheets/DMN2016UFX.pdf","DMN2016UFX Datasheet")</f>
        <v>DMN2016UFX Datasheet</v>
      </c>
      <c r="C306" t="s">
        <v>34</v>
      </c>
      <c r="D306" t="s">
        <v>28</v>
      </c>
      <c r="E306" t="s">
        <v>26</v>
      </c>
      <c r="F306" t="s">
        <v>35</v>
      </c>
      <c r="G306" t="s">
        <v>25</v>
      </c>
      <c r="H306">
        <v>24</v>
      </c>
      <c r="I306">
        <v>12</v>
      </c>
      <c r="J306">
        <v>9.9</v>
      </c>
      <c r="L306">
        <v>2.23</v>
      </c>
      <c r="O306">
        <v>15</v>
      </c>
      <c r="P306">
        <v>20</v>
      </c>
      <c r="R306">
        <v>0.4</v>
      </c>
      <c r="S306">
        <v>1.5</v>
      </c>
      <c r="T306">
        <v>14</v>
      </c>
      <c r="V306">
        <v>950</v>
      </c>
      <c r="W306">
        <v>10</v>
      </c>
      <c r="X306" t="s">
        <v>621</v>
      </c>
    </row>
    <row r="307" spans="1:24">
      <c r="A307" t="str">
        <f>Hyperlink("https://www.diodes.com/part/view/DMN2016UTS","DMN2016UTS")</f>
        <v>DMN2016UTS</v>
      </c>
      <c r="B307" t="str">
        <f>Hyperlink("https://www.diodes.com/assets/Datasheets/ds31995.pdf","DMN2016UTS Datasheet")</f>
        <v>DMN2016UTS Datasheet</v>
      </c>
      <c r="C307" t="s">
        <v>496</v>
      </c>
      <c r="D307" t="s">
        <v>25</v>
      </c>
      <c r="E307" t="s">
        <v>26</v>
      </c>
      <c r="F307" t="s">
        <v>35</v>
      </c>
      <c r="G307" t="s">
        <v>25</v>
      </c>
      <c r="H307">
        <v>20</v>
      </c>
      <c r="I307">
        <v>8</v>
      </c>
      <c r="J307">
        <v>8.58</v>
      </c>
      <c r="L307">
        <v>0.88</v>
      </c>
      <c r="O307">
        <v>14.5</v>
      </c>
      <c r="P307">
        <v>16.5</v>
      </c>
      <c r="R307">
        <v>0.4</v>
      </c>
      <c r="S307">
        <v>1</v>
      </c>
      <c r="T307">
        <v>16.5</v>
      </c>
      <c r="V307">
        <v>1495</v>
      </c>
      <c r="X307" t="s">
        <v>528</v>
      </c>
    </row>
    <row r="308" spans="1:24">
      <c r="A308" t="str">
        <f>Hyperlink("https://www.diodes.com/part/view/DMN2019UTS","DMN2019UTS")</f>
        <v>DMN2019UTS</v>
      </c>
      <c r="B308" t="str">
        <f>Hyperlink("https://www.diodes.com/assets/Datasheets/DMN2019UTS.pdf","DMN2019UTS Datasheet")</f>
        <v>DMN2019UTS Datasheet</v>
      </c>
      <c r="C308" t="s">
        <v>496</v>
      </c>
      <c r="D308" t="s">
        <v>25</v>
      </c>
      <c r="E308" t="s">
        <v>26</v>
      </c>
      <c r="F308" t="s">
        <v>35</v>
      </c>
      <c r="G308" t="s">
        <v>25</v>
      </c>
      <c r="H308">
        <v>20</v>
      </c>
      <c r="I308">
        <v>12</v>
      </c>
      <c r="J308">
        <v>5.4</v>
      </c>
      <c r="L308">
        <v>0.78</v>
      </c>
      <c r="N308">
        <v>18.5</v>
      </c>
      <c r="O308">
        <v>21</v>
      </c>
      <c r="P308">
        <v>24</v>
      </c>
      <c r="Q308">
        <v>31</v>
      </c>
      <c r="R308">
        <v>0.35</v>
      </c>
      <c r="S308">
        <v>0.95</v>
      </c>
      <c r="T308">
        <v>8.8</v>
      </c>
      <c r="V308">
        <v>143</v>
      </c>
      <c r="X308" t="s">
        <v>528</v>
      </c>
    </row>
    <row r="309" spans="1:24">
      <c r="A309" t="str">
        <f>Hyperlink("https://www.diodes.com/part/view/DMN2020LSN","DMN2020LSN")</f>
        <v>DMN2020LSN</v>
      </c>
      <c r="B309" t="str">
        <f>Hyperlink("https://www.diodes.com/assets/Datasheets/ds31946.pdf","DMN2020LSN Datasheet")</f>
        <v>DMN2020LSN Datasheet</v>
      </c>
      <c r="C309" t="s">
        <v>496</v>
      </c>
      <c r="D309" t="s">
        <v>25</v>
      </c>
      <c r="E309" t="s">
        <v>26</v>
      </c>
      <c r="F309" t="s">
        <v>27</v>
      </c>
      <c r="G309" t="s">
        <v>25</v>
      </c>
      <c r="H309">
        <v>20</v>
      </c>
      <c r="I309">
        <v>12</v>
      </c>
      <c r="J309">
        <v>6.9</v>
      </c>
      <c r="L309">
        <v>0.61</v>
      </c>
      <c r="O309">
        <v>20</v>
      </c>
      <c r="P309">
        <v>28</v>
      </c>
      <c r="R309">
        <v>0.5</v>
      </c>
      <c r="S309">
        <v>1.5</v>
      </c>
      <c r="T309">
        <v>11.6</v>
      </c>
      <c r="V309">
        <v>1149</v>
      </c>
      <c r="X309" t="s">
        <v>63</v>
      </c>
    </row>
    <row r="310" spans="1:24">
      <c r="A310" t="str">
        <f>Hyperlink("https://www.diodes.com/part/view/DMN2020UFCL","DMN2020UFCL")</f>
        <v>DMN2020UFCL</v>
      </c>
      <c r="B310" t="str">
        <f>Hyperlink("https://www.diodes.com/assets/Datasheets/DMN2020UFCL.pdf","DMN2020UFCL Datasheet")</f>
        <v>DMN2020UFCL Datasheet</v>
      </c>
      <c r="C310" t="s">
        <v>496</v>
      </c>
      <c r="D310" t="s">
        <v>25</v>
      </c>
      <c r="E310" t="s">
        <v>26</v>
      </c>
      <c r="F310" t="s">
        <v>27</v>
      </c>
      <c r="G310" t="s">
        <v>25</v>
      </c>
      <c r="H310">
        <v>20</v>
      </c>
      <c r="I310">
        <v>10</v>
      </c>
      <c r="J310">
        <v>9</v>
      </c>
      <c r="L310">
        <v>0.61</v>
      </c>
      <c r="O310">
        <v>14</v>
      </c>
      <c r="P310">
        <v>20</v>
      </c>
      <c r="Q310">
        <v>26</v>
      </c>
      <c r="R310">
        <v>0.4</v>
      </c>
      <c r="S310">
        <v>0.9</v>
      </c>
      <c r="T310">
        <v>21.5</v>
      </c>
      <c r="U310">
        <v>49</v>
      </c>
      <c r="V310">
        <v>1788</v>
      </c>
      <c r="X310" t="s">
        <v>624</v>
      </c>
    </row>
    <row r="311" spans="1:24">
      <c r="A311" t="str">
        <f>Hyperlink("https://www.diodes.com/part/view/DMN2022UCA4","DMN2022UCA4")</f>
        <v>DMN2022UCA4</v>
      </c>
      <c r="B311" t="str">
        <f>Hyperlink("https://www.diodes.com/assets/Datasheets/DMN2022UCA4.pdf","DMN2022UCA4 Datasheet")</f>
        <v>DMN2022UCA4 Datasheet</v>
      </c>
      <c r="C311" t="s">
        <v>24</v>
      </c>
      <c r="D311" t="s">
        <v>28</v>
      </c>
      <c r="E311" t="s">
        <v>26</v>
      </c>
      <c r="F311" t="s">
        <v>27</v>
      </c>
      <c r="G311" t="s">
        <v>25</v>
      </c>
      <c r="H311">
        <v>24</v>
      </c>
      <c r="I311">
        <v>12</v>
      </c>
      <c r="J311">
        <v>7.8</v>
      </c>
      <c r="L311">
        <v>2</v>
      </c>
      <c r="O311">
        <v>22</v>
      </c>
      <c r="P311">
        <v>37</v>
      </c>
      <c r="R311">
        <v>0.4</v>
      </c>
      <c r="S311">
        <v>1.4</v>
      </c>
      <c r="T311">
        <v>12.5</v>
      </c>
      <c r="V311">
        <v>1438</v>
      </c>
      <c r="W311">
        <v>10</v>
      </c>
      <c r="X311" t="s">
        <v>619</v>
      </c>
    </row>
    <row r="312" spans="1:24">
      <c r="A312" t="str">
        <f>Hyperlink("https://www.diodes.com/part/view/DMN2022UFDF","DMN2022UFDF")</f>
        <v>DMN2022UFDF</v>
      </c>
      <c r="B312" t="str">
        <f>Hyperlink("https://www.diodes.com/assets/Datasheets/DMN2022UFDF.pdf","DMN2022UFDF Datasheet")</f>
        <v>DMN2022UFDF Datasheet</v>
      </c>
      <c r="C312" t="s">
        <v>496</v>
      </c>
      <c r="D312" t="s">
        <v>25</v>
      </c>
      <c r="E312" t="s">
        <v>26</v>
      </c>
      <c r="F312" t="s">
        <v>27</v>
      </c>
      <c r="G312" t="s">
        <v>25</v>
      </c>
      <c r="H312">
        <v>20</v>
      </c>
      <c r="I312">
        <v>8</v>
      </c>
      <c r="J312">
        <v>7.9</v>
      </c>
      <c r="L312">
        <v>2.03</v>
      </c>
      <c r="O312">
        <v>22</v>
      </c>
      <c r="P312">
        <v>26</v>
      </c>
      <c r="Q312">
        <v>36</v>
      </c>
      <c r="R312">
        <v>0.5</v>
      </c>
      <c r="S312">
        <v>1</v>
      </c>
      <c r="T312">
        <v>9.8</v>
      </c>
      <c r="U312" t="s">
        <v>625</v>
      </c>
      <c r="V312">
        <v>907</v>
      </c>
      <c r="X312" t="s">
        <v>568</v>
      </c>
    </row>
    <row r="313" spans="1:24">
      <c r="A313" t="str">
        <f>Hyperlink("https://www.diodes.com/part/view/DMN2022UNS","DMN2022UNS")</f>
        <v>DMN2022UNS</v>
      </c>
      <c r="B313" t="str">
        <f>Hyperlink("https://www.diodes.com/assets/Datasheets/DMN2022UNS.pdf","DMN2022UNS Datasheet")</f>
        <v>DMN2022UNS Datasheet</v>
      </c>
      <c r="C313" t="s">
        <v>34</v>
      </c>
      <c r="D313" t="s">
        <v>28</v>
      </c>
      <c r="E313" t="s">
        <v>26</v>
      </c>
      <c r="F313" t="s">
        <v>35</v>
      </c>
      <c r="G313" t="s">
        <v>25</v>
      </c>
      <c r="H313">
        <v>20</v>
      </c>
      <c r="I313">
        <v>10</v>
      </c>
      <c r="J313">
        <v>10.7</v>
      </c>
      <c r="L313">
        <v>1.9</v>
      </c>
      <c r="O313">
        <v>10.8</v>
      </c>
      <c r="P313">
        <v>14.5</v>
      </c>
      <c r="Q313">
        <v>17</v>
      </c>
      <c r="S313">
        <v>1</v>
      </c>
      <c r="T313">
        <v>20.3</v>
      </c>
      <c r="V313">
        <v>1870</v>
      </c>
      <c r="X313" t="s">
        <v>296</v>
      </c>
    </row>
    <row r="314" spans="1:24">
      <c r="A314" t="str">
        <f>Hyperlink("https://www.diodes.com/part/view/DMN2023UCB4","DMN2023UCB4")</f>
        <v>DMN2023UCB4</v>
      </c>
      <c r="B314" t="str">
        <f>Hyperlink("https://www.diodes.com/assets/Datasheets/DMN2023UCB4.pdf","DMN2023UCB4 Datasheet")</f>
        <v>DMN2023UCB4 Datasheet</v>
      </c>
      <c r="C314" t="s">
        <v>496</v>
      </c>
      <c r="D314" t="s">
        <v>25</v>
      </c>
      <c r="E314" t="s">
        <v>26</v>
      </c>
      <c r="F314" t="s">
        <v>35</v>
      </c>
      <c r="G314" t="s">
        <v>25</v>
      </c>
      <c r="H314">
        <v>24</v>
      </c>
      <c r="I314">
        <v>12</v>
      </c>
      <c r="J314">
        <v>6</v>
      </c>
      <c r="L314">
        <v>1.45</v>
      </c>
      <c r="O314">
        <v>26</v>
      </c>
      <c r="P314">
        <v>40</v>
      </c>
      <c r="R314">
        <v>0.5</v>
      </c>
      <c r="S314">
        <v>1.3</v>
      </c>
      <c r="T314">
        <v>29</v>
      </c>
      <c r="V314">
        <v>2564</v>
      </c>
      <c r="X314" t="s">
        <v>626</v>
      </c>
    </row>
    <row r="315" spans="1:24">
      <c r="A315" t="str">
        <f>Hyperlink("https://www.diodes.com/part/view/DMN2024LCA4","DMN2024LCA4")</f>
        <v>DMN2024LCA4</v>
      </c>
      <c r="B315" t="str">
        <f>Hyperlink("https://www.diodes.com/assets/Datasheets/DMN2024LCA4.pdf","DMN2024LCA4 Datasheet")</f>
        <v>DMN2024LCA4 Datasheet</v>
      </c>
      <c r="C315" t="s">
        <v>605</v>
      </c>
      <c r="D315" t="s">
        <v>28</v>
      </c>
      <c r="E315" t="s">
        <v>26</v>
      </c>
      <c r="F315" t="s">
        <v>27</v>
      </c>
      <c r="G315" t="s">
        <v>25</v>
      </c>
      <c r="H315">
        <v>20</v>
      </c>
      <c r="I315">
        <v>10</v>
      </c>
      <c r="J315">
        <v>8.3</v>
      </c>
      <c r="L315">
        <v>2.4</v>
      </c>
      <c r="N315" t="s">
        <v>627</v>
      </c>
      <c r="O315">
        <v>23</v>
      </c>
      <c r="P315">
        <v>34</v>
      </c>
      <c r="R315">
        <v>0.68</v>
      </c>
      <c r="S315">
        <v>1.3</v>
      </c>
      <c r="U315">
        <v>28.5</v>
      </c>
      <c r="V315">
        <v>991</v>
      </c>
      <c r="W315">
        <v>10</v>
      </c>
      <c r="X315" t="s">
        <v>628</v>
      </c>
    </row>
    <row r="316" spans="1:24">
      <c r="A316" t="str">
        <f>Hyperlink("https://www.diodes.com/part/view/DMN2024U","DMN2024U")</f>
        <v>DMN2024U</v>
      </c>
      <c r="B316" t="str">
        <f>Hyperlink("https://www.diodes.com/assets/Datasheets/DMN2024U.pdf","DMN2024U Datasheet")</f>
        <v>DMN2024U Datasheet</v>
      </c>
      <c r="C316" t="s">
        <v>24</v>
      </c>
      <c r="D316" t="s">
        <v>28</v>
      </c>
      <c r="E316" t="s">
        <v>26</v>
      </c>
      <c r="F316" t="s">
        <v>27</v>
      </c>
      <c r="G316" t="s">
        <v>25</v>
      </c>
      <c r="H316">
        <v>20</v>
      </c>
      <c r="I316">
        <v>10</v>
      </c>
      <c r="J316">
        <v>6.8</v>
      </c>
      <c r="L316">
        <v>1.4</v>
      </c>
      <c r="O316">
        <v>25</v>
      </c>
      <c r="P316">
        <v>29</v>
      </c>
      <c r="Q316">
        <v>36</v>
      </c>
      <c r="R316">
        <v>0.5</v>
      </c>
      <c r="S316">
        <v>0.9</v>
      </c>
      <c r="T316">
        <v>7.1</v>
      </c>
      <c r="V316">
        <v>647</v>
      </c>
      <c r="W316">
        <v>10</v>
      </c>
      <c r="X316" t="s">
        <v>32</v>
      </c>
    </row>
    <row r="317" spans="1:24">
      <c r="A317" t="str">
        <f>Hyperlink("https://www.diodes.com/part/view/DMN2024UDH","DMN2024UDH")</f>
        <v>DMN2024UDH</v>
      </c>
      <c r="B317" t="str">
        <f>Hyperlink("https://www.diodes.com/assets/Datasheets/DMN2024UDH.pdf","DMN2024UDH Datasheet")</f>
        <v>DMN2024UDH Datasheet</v>
      </c>
      <c r="C317" t="s">
        <v>34</v>
      </c>
      <c r="D317" t="s">
        <v>28</v>
      </c>
      <c r="E317" t="s">
        <v>26</v>
      </c>
      <c r="F317" t="s">
        <v>35</v>
      </c>
      <c r="G317" t="s">
        <v>25</v>
      </c>
      <c r="H317">
        <v>20</v>
      </c>
      <c r="I317">
        <v>10</v>
      </c>
      <c r="J317">
        <v>5.2</v>
      </c>
      <c r="L317">
        <v>1.76</v>
      </c>
      <c r="O317">
        <v>23</v>
      </c>
      <c r="P317">
        <v>27</v>
      </c>
      <c r="Q317">
        <v>34</v>
      </c>
      <c r="R317">
        <v>0.35</v>
      </c>
      <c r="S317">
        <v>1</v>
      </c>
      <c r="T317">
        <v>7.1</v>
      </c>
      <c r="U317">
        <v>28</v>
      </c>
      <c r="V317">
        <v>647</v>
      </c>
      <c r="W317">
        <v>10</v>
      </c>
      <c r="X317" t="s">
        <v>506</v>
      </c>
    </row>
    <row r="318" spans="1:24">
      <c r="A318" t="str">
        <f>Hyperlink("https://www.diodes.com/part/view/DMN2024UFDF","DMN2024UFDF")</f>
        <v>DMN2024UFDF</v>
      </c>
      <c r="B318" t="str">
        <f>Hyperlink("https://www.diodes.com/assets/Datasheets/DMN2024UFDF.pdf","DMN2024UFDF Datasheet")</f>
        <v>DMN2024UFDF Datasheet</v>
      </c>
      <c r="C318" t="s">
        <v>616</v>
      </c>
      <c r="D318" t="s">
        <v>25</v>
      </c>
      <c r="E318" t="s">
        <v>26</v>
      </c>
      <c r="F318" t="s">
        <v>27</v>
      </c>
      <c r="G318" t="s">
        <v>25</v>
      </c>
      <c r="H318">
        <v>20</v>
      </c>
      <c r="I318">
        <v>10</v>
      </c>
      <c r="J318">
        <v>7.1</v>
      </c>
      <c r="L318">
        <v>1.67</v>
      </c>
      <c r="O318">
        <v>22</v>
      </c>
      <c r="P318">
        <v>26</v>
      </c>
      <c r="Q318">
        <v>36</v>
      </c>
      <c r="R318">
        <v>0.5</v>
      </c>
      <c r="S318">
        <v>1</v>
      </c>
      <c r="T318">
        <v>6.5</v>
      </c>
      <c r="U318">
        <v>14.8</v>
      </c>
      <c r="V318">
        <v>647</v>
      </c>
      <c r="W318">
        <v>10</v>
      </c>
      <c r="X318" t="s">
        <v>568</v>
      </c>
    </row>
    <row r="319" spans="1:24">
      <c r="A319" t="str">
        <f>Hyperlink("https://www.diodes.com/part/view/DMN2024UFU","DMN2024UFU")</f>
        <v>DMN2024UFU</v>
      </c>
      <c r="B319" t="str">
        <f>Hyperlink("https://www.diodes.com/assets/Datasheets/DMN2024UFU.pdf","DMN2024UFU Datasheet")</f>
        <v>DMN2024UFU Datasheet</v>
      </c>
      <c r="C319" t="s">
        <v>34</v>
      </c>
      <c r="D319" t="s">
        <v>28</v>
      </c>
      <c r="E319" t="s">
        <v>26</v>
      </c>
      <c r="F319" t="s">
        <v>35</v>
      </c>
      <c r="G319" t="s">
        <v>25</v>
      </c>
      <c r="H319">
        <v>20</v>
      </c>
      <c r="I319">
        <v>10</v>
      </c>
      <c r="J319">
        <v>7.5</v>
      </c>
      <c r="L319">
        <v>1.7</v>
      </c>
      <c r="O319">
        <v>20.2</v>
      </c>
      <c r="P319">
        <v>23.5</v>
      </c>
      <c r="S319">
        <v>0.95</v>
      </c>
      <c r="T319">
        <v>6.5</v>
      </c>
      <c r="U319">
        <v>14.8</v>
      </c>
      <c r="V319">
        <v>647</v>
      </c>
      <c r="W319">
        <v>10</v>
      </c>
      <c r="X319" t="s">
        <v>618</v>
      </c>
    </row>
    <row r="320" spans="1:24">
      <c r="A320" t="str">
        <f>Hyperlink("https://www.diodes.com/part/view/DMN2024UFX","DMN2024UFX")</f>
        <v>DMN2024UFX</v>
      </c>
      <c r="B320" t="str">
        <f>Hyperlink("https://www.diodes.com/assets/Datasheets/DMN2024UFX.pdf","DMN2024UFX Datasheet")</f>
        <v>DMN2024UFX Datasheet</v>
      </c>
      <c r="C320" t="s">
        <v>34</v>
      </c>
      <c r="D320" t="s">
        <v>28</v>
      </c>
      <c r="E320" t="s">
        <v>26</v>
      </c>
      <c r="F320" t="s">
        <v>35</v>
      </c>
      <c r="G320" t="s">
        <v>25</v>
      </c>
      <c r="H320">
        <v>20</v>
      </c>
      <c r="I320">
        <v>10</v>
      </c>
      <c r="J320">
        <v>8</v>
      </c>
      <c r="L320">
        <v>2.1</v>
      </c>
      <c r="O320">
        <v>22</v>
      </c>
      <c r="P320">
        <v>26</v>
      </c>
      <c r="S320">
        <v>1</v>
      </c>
      <c r="T320">
        <v>6.5</v>
      </c>
      <c r="U320">
        <v>14.8</v>
      </c>
      <c r="V320">
        <v>647</v>
      </c>
      <c r="W320">
        <v>10</v>
      </c>
      <c r="X320" t="s">
        <v>621</v>
      </c>
    </row>
    <row r="321" spans="1:24">
      <c r="A321" t="str">
        <f>Hyperlink("https://www.diodes.com/part/view/DMN2024UQ","DMN2024UQ")</f>
        <v>DMN2024UQ</v>
      </c>
      <c r="B321" t="str">
        <f>Hyperlink("https://www.diodes.com/assets/Datasheets/DMN2024UQ.pdf","DMN2024UQ Datasheet")</f>
        <v>DMN2024UQ Datasheet</v>
      </c>
      <c r="C321" t="s">
        <v>24</v>
      </c>
      <c r="D321" t="s">
        <v>25</v>
      </c>
      <c r="E321" t="s">
        <v>33</v>
      </c>
      <c r="F321" t="s">
        <v>27</v>
      </c>
      <c r="G321" t="s">
        <v>25</v>
      </c>
      <c r="H321">
        <v>20</v>
      </c>
      <c r="I321">
        <v>10</v>
      </c>
      <c r="J321">
        <v>6.8</v>
      </c>
      <c r="L321">
        <v>1.4</v>
      </c>
      <c r="O321">
        <v>25</v>
      </c>
      <c r="P321">
        <v>29</v>
      </c>
      <c r="Q321">
        <v>36</v>
      </c>
      <c r="R321">
        <v>0.5</v>
      </c>
      <c r="S321">
        <v>0.9</v>
      </c>
      <c r="T321">
        <v>6.5</v>
      </c>
      <c r="V321">
        <v>647</v>
      </c>
      <c r="W321">
        <v>10</v>
      </c>
      <c r="X321" t="s">
        <v>32</v>
      </c>
    </row>
    <row r="322" spans="1:24">
      <c r="A322" t="str">
        <f>Hyperlink("https://www.diodes.com/part/view/DMN2024UTS","DMN2024UTS")</f>
        <v>DMN2024UTS</v>
      </c>
      <c r="B322" t="str">
        <f>Hyperlink("https://www.diodes.com/assets/Datasheets/DMN2024UTS.pdf","DMN2024UTS Datasheet")</f>
        <v>DMN2024UTS Datasheet</v>
      </c>
      <c r="C322" t="s">
        <v>34</v>
      </c>
      <c r="D322" t="s">
        <v>28</v>
      </c>
      <c r="E322" t="s">
        <v>26</v>
      </c>
      <c r="F322" t="s">
        <v>35</v>
      </c>
      <c r="G322" t="s">
        <v>25</v>
      </c>
      <c r="H322">
        <v>20</v>
      </c>
      <c r="I322">
        <v>10</v>
      </c>
      <c r="J322">
        <v>6.2</v>
      </c>
      <c r="L322">
        <v>1.39</v>
      </c>
      <c r="O322">
        <v>24</v>
      </c>
      <c r="P322">
        <v>28</v>
      </c>
      <c r="R322">
        <v>0.35</v>
      </c>
      <c r="S322">
        <v>0.95</v>
      </c>
      <c r="T322">
        <v>7.1</v>
      </c>
      <c r="U322">
        <v>14.5</v>
      </c>
      <c r="V322">
        <v>647</v>
      </c>
      <c r="W322">
        <v>10</v>
      </c>
      <c r="X322" t="s">
        <v>528</v>
      </c>
    </row>
    <row r="323" spans="1:24">
      <c r="A323" t="str">
        <f>Hyperlink("https://www.diodes.com/part/view/DMN2024UVT","DMN2024UVT")</f>
        <v>DMN2024UVT</v>
      </c>
      <c r="B323" t="str">
        <f>Hyperlink("https://www.diodes.com/assets/Datasheets/DMN2024UVT.pdf","DMN2024UVT Datasheet")</f>
        <v>DMN2024UVT Datasheet</v>
      </c>
      <c r="C323" t="s">
        <v>24</v>
      </c>
      <c r="D323" t="s">
        <v>28</v>
      </c>
      <c r="E323" t="s">
        <v>26</v>
      </c>
      <c r="F323" t="s">
        <v>35</v>
      </c>
      <c r="G323" t="s">
        <v>25</v>
      </c>
      <c r="H323">
        <v>20</v>
      </c>
      <c r="I323">
        <v>10</v>
      </c>
      <c r="J323">
        <v>7</v>
      </c>
      <c r="L323">
        <v>1.6</v>
      </c>
      <c r="O323">
        <v>24</v>
      </c>
      <c r="P323">
        <v>28</v>
      </c>
      <c r="Q323">
        <v>34</v>
      </c>
      <c r="S323">
        <v>0.9</v>
      </c>
      <c r="T323">
        <v>7.1</v>
      </c>
      <c r="V323">
        <v>647</v>
      </c>
      <c r="W323">
        <v>10</v>
      </c>
      <c r="X323" t="s">
        <v>128</v>
      </c>
    </row>
    <row r="324" spans="1:24">
      <c r="A324" t="str">
        <f>Hyperlink("https://www.diodes.com/part/view/DMN2024UVTQ","DMN2024UVTQ")</f>
        <v>DMN2024UVTQ</v>
      </c>
      <c r="B324" t="str">
        <f>Hyperlink("https://www.diodes.com/assets/Datasheets/DMN2024UVTQ.pdf","DMN2024UVTQ Datasheet")</f>
        <v>DMN2024UVTQ Datasheet</v>
      </c>
      <c r="C324" t="s">
        <v>24</v>
      </c>
      <c r="D324" t="s">
        <v>25</v>
      </c>
      <c r="E324" t="s">
        <v>33</v>
      </c>
      <c r="F324" t="s">
        <v>35</v>
      </c>
      <c r="G324" t="s">
        <v>25</v>
      </c>
      <c r="H324">
        <v>20</v>
      </c>
      <c r="I324">
        <v>10</v>
      </c>
      <c r="J324">
        <v>7</v>
      </c>
      <c r="L324">
        <v>1.6</v>
      </c>
      <c r="O324">
        <v>24</v>
      </c>
      <c r="P324">
        <v>28</v>
      </c>
      <c r="Q324">
        <v>34</v>
      </c>
      <c r="S324">
        <v>0.9</v>
      </c>
      <c r="T324">
        <v>7.1</v>
      </c>
      <c r="V324">
        <v>647</v>
      </c>
      <c r="W324">
        <v>10</v>
      </c>
      <c r="X324" t="s">
        <v>128</v>
      </c>
    </row>
    <row r="325" spans="1:24">
      <c r="A325" t="str">
        <f>Hyperlink("https://www.diodes.com/part/view/DMN2025U","DMN2025U")</f>
        <v>DMN2025U</v>
      </c>
      <c r="B325" t="str">
        <f>Hyperlink("https://www.diodes.com/assets/Datasheets/DMN2025U.pdf","DMN2025U Datasheet")</f>
        <v>DMN2025U Datasheet</v>
      </c>
      <c r="C325" t="s">
        <v>24</v>
      </c>
      <c r="D325" t="s">
        <v>28</v>
      </c>
      <c r="E325" t="s">
        <v>26</v>
      </c>
      <c r="F325" t="s">
        <v>27</v>
      </c>
      <c r="G325" t="s">
        <v>25</v>
      </c>
      <c r="H325">
        <v>20</v>
      </c>
      <c r="I325">
        <v>12</v>
      </c>
      <c r="J325">
        <v>5.6</v>
      </c>
      <c r="L325">
        <v>1.3</v>
      </c>
      <c r="O325">
        <v>27</v>
      </c>
      <c r="P325">
        <v>35</v>
      </c>
      <c r="Q325">
        <v>65</v>
      </c>
      <c r="R325">
        <v>0.5</v>
      </c>
      <c r="S325">
        <v>0.9</v>
      </c>
      <c r="T325">
        <v>5.9</v>
      </c>
      <c r="V325">
        <v>485</v>
      </c>
      <c r="W325">
        <v>10</v>
      </c>
      <c r="X325" t="s">
        <v>32</v>
      </c>
    </row>
    <row r="326" spans="1:24">
      <c r="A326" t="str">
        <f>Hyperlink("https://www.diodes.com/part/view/DMN2025UFDB","DMN2025UFDB")</f>
        <v>DMN2025UFDB</v>
      </c>
      <c r="B326" t="str">
        <f>Hyperlink("https://www.diodes.com/assets/Datasheets/DMN2025UFDB.pdf","DMN2025UFDB Datasheet")</f>
        <v>DMN2025UFDB Datasheet</v>
      </c>
      <c r="C326" t="s">
        <v>629</v>
      </c>
      <c r="D326" t="s">
        <v>28</v>
      </c>
      <c r="E326" t="s">
        <v>26</v>
      </c>
      <c r="F326" t="s">
        <v>35</v>
      </c>
      <c r="G326" t="s">
        <v>25</v>
      </c>
      <c r="H326">
        <v>20</v>
      </c>
      <c r="I326">
        <v>10</v>
      </c>
      <c r="J326">
        <v>6</v>
      </c>
      <c r="L326">
        <v>1.4</v>
      </c>
      <c r="O326">
        <v>25</v>
      </c>
      <c r="P326">
        <v>31</v>
      </c>
      <c r="R326">
        <v>0.5</v>
      </c>
      <c r="S326">
        <v>1</v>
      </c>
      <c r="T326">
        <v>5.9</v>
      </c>
      <c r="U326">
        <v>12.3</v>
      </c>
      <c r="V326">
        <v>486</v>
      </c>
      <c r="W326">
        <v>10</v>
      </c>
      <c r="X326" t="s">
        <v>125</v>
      </c>
    </row>
    <row r="327" spans="1:24">
      <c r="A327" t="str">
        <f>Hyperlink("https://www.diodes.com/part/view/DMN2025UFDF","DMN2025UFDF")</f>
        <v>DMN2025UFDF</v>
      </c>
      <c r="B327" t="str">
        <f>Hyperlink("https://www.diodes.com/assets/Datasheets/DMN2025UFDF.pdf","DMN2025UFDF Datasheet")</f>
        <v>DMN2025UFDF Datasheet</v>
      </c>
      <c r="C327" t="s">
        <v>616</v>
      </c>
      <c r="D327" t="s">
        <v>28</v>
      </c>
      <c r="E327" t="s">
        <v>26</v>
      </c>
      <c r="F327" t="s">
        <v>27</v>
      </c>
      <c r="G327" t="s">
        <v>25</v>
      </c>
      <c r="H327">
        <v>20</v>
      </c>
      <c r="I327">
        <v>10</v>
      </c>
      <c r="J327">
        <v>6.5</v>
      </c>
      <c r="L327">
        <v>1.6</v>
      </c>
      <c r="O327">
        <v>25</v>
      </c>
      <c r="P327">
        <v>31</v>
      </c>
      <c r="Q327">
        <v>60</v>
      </c>
      <c r="R327">
        <v>0.5</v>
      </c>
      <c r="S327">
        <v>1</v>
      </c>
      <c r="T327">
        <v>5.9</v>
      </c>
      <c r="U327">
        <v>12.3</v>
      </c>
      <c r="V327">
        <v>486</v>
      </c>
      <c r="W327">
        <v>10</v>
      </c>
      <c r="X327" t="s">
        <v>568</v>
      </c>
    </row>
    <row r="328" spans="1:24">
      <c r="A328" t="str">
        <f>Hyperlink("https://www.diodes.com/part/view/DMN2026UVT","DMN2026UVT")</f>
        <v>DMN2026UVT</v>
      </c>
      <c r="B328" t="str">
        <f>Hyperlink("https://www.diodes.com/assets/Datasheets/DMN2026UVT.pdf","DMN2026UVT Datasheet")</f>
        <v>DMN2026UVT Datasheet</v>
      </c>
      <c r="C328" t="s">
        <v>24</v>
      </c>
      <c r="D328" t="s">
        <v>28</v>
      </c>
      <c r="E328" t="s">
        <v>26</v>
      </c>
      <c r="F328" t="s">
        <v>27</v>
      </c>
      <c r="G328" t="s">
        <v>28</v>
      </c>
      <c r="H328">
        <v>20</v>
      </c>
      <c r="I328">
        <v>10</v>
      </c>
      <c r="J328">
        <v>6.2</v>
      </c>
      <c r="L328">
        <v>1.75</v>
      </c>
      <c r="O328">
        <v>24</v>
      </c>
      <c r="P328">
        <v>32</v>
      </c>
      <c r="S328">
        <v>1.5</v>
      </c>
      <c r="T328">
        <v>10</v>
      </c>
      <c r="U328" t="s">
        <v>630</v>
      </c>
      <c r="W328">
        <v>10</v>
      </c>
      <c r="X328" t="s">
        <v>128</v>
      </c>
    </row>
    <row r="329" spans="1:24">
      <c r="A329" t="str">
        <f>Hyperlink("https://www.diodes.com/part/view/DMN2027UPS","DMN2027UPS")</f>
        <v>DMN2027UPS</v>
      </c>
      <c r="B329" t="str">
        <f>Hyperlink("https://www.diodes.com/assets/Datasheets/DMN2027UPS.pdf","DMN2027UPS Datasheet")</f>
        <v>DMN2027UPS Datasheet</v>
      </c>
      <c r="C329" t="s">
        <v>616</v>
      </c>
      <c r="D329" t="s">
        <v>28</v>
      </c>
      <c r="E329" t="s">
        <v>26</v>
      </c>
      <c r="F329" t="s">
        <v>27</v>
      </c>
      <c r="G329" t="s">
        <v>28</v>
      </c>
      <c r="H329">
        <v>20</v>
      </c>
      <c r="I329">
        <v>12</v>
      </c>
      <c r="J329">
        <v>10</v>
      </c>
      <c r="L329">
        <v>1.9</v>
      </c>
      <c r="O329">
        <v>12.5</v>
      </c>
      <c r="P329">
        <v>19</v>
      </c>
      <c r="S329">
        <v>1.3</v>
      </c>
      <c r="T329">
        <v>11.6</v>
      </c>
      <c r="V329">
        <v>1091</v>
      </c>
      <c r="W329">
        <v>10</v>
      </c>
      <c r="X329" t="s">
        <v>617</v>
      </c>
    </row>
    <row r="330" spans="1:24">
      <c r="A330" t="str">
        <f>Hyperlink("https://www.diodes.com/part/view/DMN2027USS","DMN2027USS")</f>
        <v>DMN2027USS</v>
      </c>
      <c r="B330" t="str">
        <f>Hyperlink("https://www.diodes.com/assets/Datasheets/DMN2027USS.pdf","DMN2027USS Datasheet")</f>
        <v>DMN2027USS Datasheet</v>
      </c>
      <c r="C330" t="s">
        <v>496</v>
      </c>
      <c r="D330" t="s">
        <v>25</v>
      </c>
      <c r="E330" t="s">
        <v>26</v>
      </c>
      <c r="F330" t="s">
        <v>27</v>
      </c>
      <c r="G330" t="s">
        <v>28</v>
      </c>
      <c r="H330">
        <v>20</v>
      </c>
      <c r="I330">
        <v>12</v>
      </c>
      <c r="J330">
        <v>10.5</v>
      </c>
      <c r="L330">
        <v>2</v>
      </c>
      <c r="O330">
        <v>12.5</v>
      </c>
      <c r="P330">
        <v>19</v>
      </c>
      <c r="R330">
        <v>0.7</v>
      </c>
      <c r="S330">
        <v>1.3</v>
      </c>
      <c r="T330">
        <v>11.6</v>
      </c>
      <c r="V330">
        <v>1000</v>
      </c>
      <c r="X330" t="s">
        <v>155</v>
      </c>
    </row>
    <row r="331" spans="1:24">
      <c r="A331" t="str">
        <f>Hyperlink("https://www.diodes.com/part/view/DMN2028UFDF","DMN2028UFDF")</f>
        <v>DMN2028UFDF</v>
      </c>
      <c r="B331" t="str">
        <f>Hyperlink("https://www.diodes.com/assets/Datasheets/DMN2028UFDF.pdf","DMN2028UFDF Datasheet")</f>
        <v>DMN2028UFDF Datasheet</v>
      </c>
      <c r="C331" t="s">
        <v>24</v>
      </c>
      <c r="D331" t="s">
        <v>28</v>
      </c>
      <c r="E331" t="s">
        <v>26</v>
      </c>
      <c r="F331" t="s">
        <v>27</v>
      </c>
      <c r="G331" t="s">
        <v>25</v>
      </c>
      <c r="H331">
        <v>20</v>
      </c>
      <c r="I331">
        <v>8</v>
      </c>
      <c r="J331">
        <v>7.9</v>
      </c>
      <c r="L331">
        <v>2.03</v>
      </c>
      <c r="O331">
        <v>25</v>
      </c>
      <c r="P331">
        <v>29</v>
      </c>
      <c r="Q331">
        <v>39</v>
      </c>
      <c r="S331">
        <v>1</v>
      </c>
      <c r="T331">
        <v>9.8</v>
      </c>
      <c r="U331" t="s">
        <v>625</v>
      </c>
      <c r="V331">
        <v>907</v>
      </c>
      <c r="W331">
        <v>10</v>
      </c>
      <c r="X331" t="s">
        <v>568</v>
      </c>
    </row>
    <row r="332" spans="1:24">
      <c r="A332" t="str">
        <f>Hyperlink("https://www.diodes.com/part/view/DMN2028UFDH","DMN2028UFDH")</f>
        <v>DMN2028UFDH</v>
      </c>
      <c r="B332" t="str">
        <f>Hyperlink("https://www.diodes.com/assets/Datasheets/DMN2028UFDH.pdf","DMN2028UFDH Datasheet")</f>
        <v>DMN2028UFDH Datasheet</v>
      </c>
      <c r="C332" t="s">
        <v>496</v>
      </c>
      <c r="D332" t="s">
        <v>25</v>
      </c>
      <c r="E332" t="s">
        <v>26</v>
      </c>
      <c r="F332" t="s">
        <v>35</v>
      </c>
      <c r="G332" t="s">
        <v>25</v>
      </c>
      <c r="H332">
        <v>20</v>
      </c>
      <c r="I332">
        <v>12</v>
      </c>
      <c r="J332">
        <v>6.8</v>
      </c>
      <c r="L332">
        <v>1.5</v>
      </c>
      <c r="N332">
        <v>20</v>
      </c>
      <c r="O332">
        <v>22</v>
      </c>
      <c r="P332">
        <v>26</v>
      </c>
      <c r="Q332">
        <v>36</v>
      </c>
      <c r="R332">
        <v>0.5</v>
      </c>
      <c r="S332">
        <v>1</v>
      </c>
      <c r="T332">
        <v>8.5</v>
      </c>
      <c r="V332">
        <v>151</v>
      </c>
      <c r="X332" t="s">
        <v>631</v>
      </c>
    </row>
    <row r="333" spans="1:24">
      <c r="A333" t="str">
        <f>Hyperlink("https://www.diodes.com/part/view/DMN2028UFU","DMN2028UFU")</f>
        <v>DMN2028UFU</v>
      </c>
      <c r="B333" t="str">
        <f>Hyperlink("https://www.diodes.com/assets/Datasheets/DMN2028UFU.pdf","DMN2028UFU Datasheet")</f>
        <v>DMN2028UFU Datasheet</v>
      </c>
      <c r="C333" t="s">
        <v>24</v>
      </c>
      <c r="D333" t="s">
        <v>28</v>
      </c>
      <c r="E333" t="s">
        <v>26</v>
      </c>
      <c r="F333" t="s">
        <v>35</v>
      </c>
      <c r="G333" t="s">
        <v>25</v>
      </c>
      <c r="H333">
        <v>20</v>
      </c>
      <c r="I333">
        <v>10</v>
      </c>
      <c r="J333">
        <v>7.5</v>
      </c>
      <c r="L333">
        <v>1.8</v>
      </c>
      <c r="O333">
        <v>20.2</v>
      </c>
      <c r="P333">
        <v>23.5</v>
      </c>
      <c r="Q333">
        <v>30</v>
      </c>
      <c r="S333">
        <v>1</v>
      </c>
      <c r="T333">
        <v>10</v>
      </c>
      <c r="U333" t="s">
        <v>630</v>
      </c>
      <c r="V333">
        <v>887</v>
      </c>
      <c r="W333">
        <v>10</v>
      </c>
      <c r="X333" t="s">
        <v>618</v>
      </c>
    </row>
    <row r="334" spans="1:24">
      <c r="A334" t="str">
        <f>Hyperlink("https://www.diodes.com/part/view/DMN2028USS","DMN2028USS")</f>
        <v>DMN2028USS</v>
      </c>
      <c r="B334" t="str">
        <f>Hyperlink("https://www.diodes.com/assets/Datasheets/DMN2028USS.pdf","DMN2028USS Datasheet")</f>
        <v>DMN2028USS Datasheet</v>
      </c>
      <c r="C334" t="s">
        <v>496</v>
      </c>
      <c r="D334" t="s">
        <v>25</v>
      </c>
      <c r="E334" t="s">
        <v>26</v>
      </c>
      <c r="F334" t="s">
        <v>27</v>
      </c>
      <c r="G334" t="s">
        <v>25</v>
      </c>
      <c r="H334">
        <v>20</v>
      </c>
      <c r="I334">
        <v>12</v>
      </c>
      <c r="J334">
        <v>7.3</v>
      </c>
      <c r="L334">
        <v>1.56</v>
      </c>
      <c r="O334">
        <v>20</v>
      </c>
      <c r="P334">
        <v>28</v>
      </c>
      <c r="R334">
        <v>0.6</v>
      </c>
      <c r="S334">
        <v>1.3</v>
      </c>
      <c r="T334">
        <v>11.6</v>
      </c>
      <c r="U334">
        <v>28.5</v>
      </c>
      <c r="V334">
        <v>1000</v>
      </c>
      <c r="X334" t="s">
        <v>155</v>
      </c>
    </row>
    <row r="335" spans="1:24">
      <c r="A335" t="str">
        <f>Hyperlink("https://www.diodes.com/part/view/DMN2028UVT","DMN2028UVT")</f>
        <v>DMN2028UVT</v>
      </c>
      <c r="B335" t="str">
        <f>Hyperlink("https://www.diodes.com/assets/Datasheets/DMN2028UVT.pdf","DMN2028UVT Datasheet")</f>
        <v>DMN2028UVT Datasheet</v>
      </c>
      <c r="C335" t="s">
        <v>24</v>
      </c>
      <c r="D335" t="s">
        <v>28</v>
      </c>
      <c r="E335" t="s">
        <v>26</v>
      </c>
      <c r="F335" t="s">
        <v>27</v>
      </c>
      <c r="G335" t="s">
        <v>28</v>
      </c>
      <c r="H335">
        <v>20</v>
      </c>
      <c r="I335">
        <v>8</v>
      </c>
      <c r="J335">
        <v>6.2</v>
      </c>
      <c r="L335">
        <v>1.6</v>
      </c>
      <c r="O335">
        <v>24</v>
      </c>
      <c r="P335">
        <v>32</v>
      </c>
      <c r="S335">
        <v>1.5</v>
      </c>
      <c r="T335">
        <v>8.3</v>
      </c>
      <c r="V335">
        <v>856</v>
      </c>
      <c r="W335">
        <v>10</v>
      </c>
      <c r="X335" t="s">
        <v>128</v>
      </c>
    </row>
    <row r="336" spans="1:24">
      <c r="A336" t="str">
        <f>Hyperlink("https://www.diodes.com/part/view/DMN2029USD","DMN2029USD")</f>
        <v>DMN2029USD</v>
      </c>
      <c r="B336" t="str">
        <f>Hyperlink("https://www.diodes.com/assets/Datasheets/DMN2029USD.pdf","DMN2029USD Datasheet")</f>
        <v>DMN2029USD Datasheet</v>
      </c>
      <c r="C336" t="s">
        <v>496</v>
      </c>
      <c r="D336" t="s">
        <v>25</v>
      </c>
      <c r="E336" t="s">
        <v>26</v>
      </c>
      <c r="F336" t="s">
        <v>35</v>
      </c>
      <c r="G336" t="s">
        <v>28</v>
      </c>
      <c r="H336">
        <v>20</v>
      </c>
      <c r="I336">
        <v>8</v>
      </c>
      <c r="J336">
        <v>5.8</v>
      </c>
      <c r="L336">
        <v>1.4</v>
      </c>
      <c r="O336">
        <v>25</v>
      </c>
      <c r="P336">
        <v>35</v>
      </c>
      <c r="R336">
        <v>0.6</v>
      </c>
      <c r="S336">
        <v>1.5</v>
      </c>
      <c r="T336">
        <v>10.4</v>
      </c>
      <c r="U336" t="s">
        <v>632</v>
      </c>
      <c r="V336">
        <v>1171</v>
      </c>
      <c r="X336" t="s">
        <v>155</v>
      </c>
    </row>
    <row r="337" spans="1:24">
      <c r="A337" t="str">
        <f>Hyperlink("https://www.diodes.com/part/view/DMN2029UVT","DMN2029UVT")</f>
        <v>DMN2029UVT</v>
      </c>
      <c r="B337" t="str">
        <f>Hyperlink("https://www.diodes.com/assets/Datasheets/DMN2029UVT.pdf","DMN2029UVT Datasheet")</f>
        <v>DMN2029UVT Datasheet</v>
      </c>
      <c r="C337" t="s">
        <v>24</v>
      </c>
      <c r="D337" t="s">
        <v>28</v>
      </c>
      <c r="E337" t="s">
        <v>26</v>
      </c>
      <c r="F337" t="s">
        <v>27</v>
      </c>
      <c r="G337" t="s">
        <v>28</v>
      </c>
      <c r="H337">
        <v>20</v>
      </c>
      <c r="I337">
        <v>10</v>
      </c>
      <c r="J337">
        <v>6.8</v>
      </c>
      <c r="L337">
        <v>1.7</v>
      </c>
      <c r="O337">
        <v>24</v>
      </c>
      <c r="P337">
        <v>32</v>
      </c>
      <c r="R337">
        <v>0.4</v>
      </c>
      <c r="S337">
        <v>1.5</v>
      </c>
      <c r="T337">
        <v>7.1</v>
      </c>
      <c r="V337">
        <v>646</v>
      </c>
      <c r="W337">
        <v>10</v>
      </c>
      <c r="X337" t="s">
        <v>128</v>
      </c>
    </row>
    <row r="338" spans="1:24">
      <c r="A338" t="str">
        <f>Hyperlink("https://www.diodes.com/part/view/DMN2030UCA4","DMN2030UCA4")</f>
        <v>DMN2030UCA4</v>
      </c>
      <c r="B338" t="str">
        <f>Hyperlink("https://www.diodes.com/assets/Datasheets/DMN2030UCA4.pdf","DMN2030UCA4 Datasheet")</f>
        <v>DMN2030UCA4 Datasheet</v>
      </c>
      <c r="C338" t="s">
        <v>24</v>
      </c>
      <c r="D338" t="s">
        <v>28</v>
      </c>
      <c r="E338" t="s">
        <v>26</v>
      </c>
      <c r="F338" t="s">
        <v>35</v>
      </c>
      <c r="G338" t="s">
        <v>28</v>
      </c>
      <c r="H338">
        <v>20</v>
      </c>
      <c r="I338">
        <v>12</v>
      </c>
      <c r="J338">
        <v>6.3</v>
      </c>
      <c r="L338">
        <v>1.9</v>
      </c>
      <c r="O338">
        <v>32</v>
      </c>
      <c r="P338">
        <v>50</v>
      </c>
      <c r="R338">
        <v>0.35</v>
      </c>
      <c r="S338">
        <v>1.4</v>
      </c>
      <c r="V338">
        <v>523</v>
      </c>
      <c r="W338">
        <v>10</v>
      </c>
      <c r="X338" t="s">
        <v>633</v>
      </c>
    </row>
    <row r="339" spans="1:24">
      <c r="A339" t="str">
        <f>Hyperlink("https://www.diodes.com/part/view/DMN2036UCB4","DMN2036UCB4")</f>
        <v>DMN2036UCB4</v>
      </c>
      <c r="B339" t="str">
        <f>Hyperlink("https://www.diodes.com/assets/Datasheets/DMN2036UCB4.pdf","DMN2036UCB4 Datasheet")</f>
        <v>DMN2036UCB4 Datasheet</v>
      </c>
      <c r="C339" t="s">
        <v>62</v>
      </c>
      <c r="D339" t="s">
        <v>28</v>
      </c>
      <c r="E339" t="s">
        <v>26</v>
      </c>
      <c r="F339" t="s">
        <v>35</v>
      </c>
      <c r="G339" t="s">
        <v>25</v>
      </c>
      <c r="H339">
        <v>24</v>
      </c>
      <c r="I339">
        <v>12</v>
      </c>
      <c r="J339">
        <v>5</v>
      </c>
      <c r="L339">
        <v>1.45</v>
      </c>
      <c r="O339">
        <v>36</v>
      </c>
      <c r="P339">
        <v>52</v>
      </c>
      <c r="R339">
        <v>0.5</v>
      </c>
      <c r="S339">
        <v>1.3</v>
      </c>
      <c r="T339">
        <v>12.6</v>
      </c>
      <c r="X339" t="s">
        <v>634</v>
      </c>
    </row>
    <row r="340" spans="1:24">
      <c r="A340" t="str">
        <f>Hyperlink("https://www.diodes.com/part/view/DMN2040LTS","DMN2040LTS")</f>
        <v>DMN2040LTS</v>
      </c>
      <c r="B340" t="str">
        <f>Hyperlink("https://www.diodes.com/assets/Datasheets/ds31941.pdf","DMN2040LTS Datasheet")</f>
        <v>DMN2040LTS Datasheet</v>
      </c>
      <c r="C340" t="s">
        <v>496</v>
      </c>
      <c r="D340" t="s">
        <v>25</v>
      </c>
      <c r="E340" t="s">
        <v>26</v>
      </c>
      <c r="F340" t="s">
        <v>35</v>
      </c>
      <c r="G340" t="s">
        <v>28</v>
      </c>
      <c r="H340">
        <v>20</v>
      </c>
      <c r="I340">
        <v>12</v>
      </c>
      <c r="J340">
        <v>6.7</v>
      </c>
      <c r="L340">
        <v>0.89</v>
      </c>
      <c r="O340">
        <v>26</v>
      </c>
      <c r="P340">
        <v>36</v>
      </c>
      <c r="R340">
        <v>0.5</v>
      </c>
      <c r="S340">
        <v>1.2</v>
      </c>
      <c r="T340">
        <v>5.2</v>
      </c>
      <c r="V340">
        <v>570</v>
      </c>
      <c r="X340" t="s">
        <v>528</v>
      </c>
    </row>
    <row r="341" spans="1:24">
      <c r="A341" t="str">
        <f>Hyperlink("https://www.diodes.com/part/view/DMN2040U","DMN2040U")</f>
        <v>DMN2040U</v>
      </c>
      <c r="B341" t="str">
        <f>Hyperlink("https://www.diodes.com/assets/Datasheets/DMN2040U.pdf","DMN2040U Datasheet")</f>
        <v>DMN2040U Datasheet</v>
      </c>
      <c r="C341" t="s">
        <v>24</v>
      </c>
      <c r="D341" t="s">
        <v>28</v>
      </c>
      <c r="E341" t="s">
        <v>26</v>
      </c>
      <c r="F341" t="s">
        <v>27</v>
      </c>
      <c r="G341" t="s">
        <v>28</v>
      </c>
      <c r="H341">
        <v>20</v>
      </c>
      <c r="I341">
        <v>12</v>
      </c>
      <c r="J341">
        <v>6</v>
      </c>
      <c r="L341">
        <v>1.36</v>
      </c>
      <c r="O341">
        <v>25</v>
      </c>
      <c r="P341">
        <v>33</v>
      </c>
      <c r="R341">
        <v>0.5</v>
      </c>
      <c r="S341">
        <v>1.2</v>
      </c>
      <c r="T341">
        <v>7.5</v>
      </c>
      <c r="V341">
        <v>667</v>
      </c>
      <c r="W341">
        <v>10</v>
      </c>
      <c r="X341" t="s">
        <v>32</v>
      </c>
    </row>
    <row r="342" spans="1:24">
      <c r="A342" t="str">
        <f>Hyperlink("https://www.diodes.com/part/view/DMN2040UQ","DMN2040UQ")</f>
        <v>DMN2040UQ</v>
      </c>
      <c r="B342" t="str">
        <f>Hyperlink("https://www.diodes.com/assets/Datasheets/DMN2040UQ.pdf","DMN2040UQ Datasheet")</f>
        <v>DMN2040UQ Datasheet</v>
      </c>
      <c r="C342" t="s">
        <v>605</v>
      </c>
      <c r="D342" t="s">
        <v>25</v>
      </c>
      <c r="E342" t="s">
        <v>33</v>
      </c>
      <c r="F342" t="s">
        <v>27</v>
      </c>
      <c r="G342" t="s">
        <v>28</v>
      </c>
      <c r="H342">
        <v>20</v>
      </c>
      <c r="I342">
        <v>12</v>
      </c>
      <c r="J342">
        <v>6</v>
      </c>
      <c r="L342">
        <v>1.36</v>
      </c>
      <c r="O342">
        <v>25</v>
      </c>
      <c r="P342">
        <v>33</v>
      </c>
      <c r="R342">
        <v>0.5</v>
      </c>
      <c r="S342">
        <v>1.2</v>
      </c>
      <c r="T342">
        <v>7.5</v>
      </c>
      <c r="V342">
        <v>667</v>
      </c>
      <c r="W342">
        <v>10</v>
      </c>
      <c r="X342" t="s">
        <v>32</v>
      </c>
    </row>
    <row r="343" spans="1:24">
      <c r="A343" t="str">
        <f>Hyperlink("https://www.diodes.com/part/view/DMN2040UVT","DMN2040UVT")</f>
        <v>DMN2040UVT</v>
      </c>
      <c r="B343" t="str">
        <f>Hyperlink("https://www.diodes.com/assets/Datasheets/DMN2040UVT.pdf","DMN2040UVT Datasheet")</f>
        <v>DMN2040UVT Datasheet</v>
      </c>
      <c r="C343" t="s">
        <v>616</v>
      </c>
      <c r="D343" t="s">
        <v>28</v>
      </c>
      <c r="E343" t="s">
        <v>26</v>
      </c>
      <c r="F343" t="s">
        <v>27</v>
      </c>
      <c r="G343" t="s">
        <v>28</v>
      </c>
      <c r="H343">
        <v>20</v>
      </c>
      <c r="I343">
        <v>8</v>
      </c>
      <c r="J343">
        <v>6.7</v>
      </c>
      <c r="L343">
        <v>1.6</v>
      </c>
      <c r="O343">
        <v>24</v>
      </c>
      <c r="P343">
        <v>32</v>
      </c>
      <c r="R343">
        <v>0.4</v>
      </c>
      <c r="S343">
        <v>1.5</v>
      </c>
      <c r="T343">
        <v>7.5</v>
      </c>
      <c r="V343">
        <v>667</v>
      </c>
      <c r="W343">
        <v>10</v>
      </c>
      <c r="X343" t="s">
        <v>128</v>
      </c>
    </row>
    <row r="344" spans="1:24">
      <c r="A344" t="str">
        <f>Hyperlink("https://www.diodes.com/part/view/DMN2041LSD","DMN2041LSD")</f>
        <v>DMN2041LSD</v>
      </c>
      <c r="B344" t="str">
        <f>Hyperlink("https://www.diodes.com/assets/Datasheets/ds31964.pdf","DMN2041LSD Datasheet")</f>
        <v>DMN2041LSD Datasheet</v>
      </c>
      <c r="C344" t="s">
        <v>34</v>
      </c>
      <c r="D344" t="s">
        <v>25</v>
      </c>
      <c r="E344" t="s">
        <v>26</v>
      </c>
      <c r="F344" t="s">
        <v>35</v>
      </c>
      <c r="G344" t="s">
        <v>28</v>
      </c>
      <c r="H344">
        <v>20</v>
      </c>
      <c r="I344">
        <v>12</v>
      </c>
      <c r="J344">
        <v>7.6</v>
      </c>
      <c r="L344">
        <v>1.16</v>
      </c>
      <c r="O344">
        <v>28</v>
      </c>
      <c r="P344">
        <v>41</v>
      </c>
      <c r="R344">
        <v>0.5</v>
      </c>
      <c r="S344">
        <v>1.2</v>
      </c>
      <c r="T344">
        <v>7.2</v>
      </c>
      <c r="U344">
        <v>15.6</v>
      </c>
      <c r="V344">
        <v>550</v>
      </c>
      <c r="X344" t="s">
        <v>155</v>
      </c>
    </row>
    <row r="345" spans="1:24">
      <c r="A345" t="str">
        <f>Hyperlink("https://www.diodes.com/part/view/DMN2041UFDB","DMN2041UFDB")</f>
        <v>DMN2041UFDB</v>
      </c>
      <c r="B345" t="str">
        <f>Hyperlink("https://www.diodes.com/assets/Datasheets/DMN2041UFDB.pdf","DMN2041UFDB Datasheet")</f>
        <v>DMN2041UFDB Datasheet</v>
      </c>
      <c r="C345" t="s">
        <v>34</v>
      </c>
      <c r="D345" t="s">
        <v>28</v>
      </c>
      <c r="E345" t="s">
        <v>26</v>
      </c>
      <c r="F345" t="s">
        <v>35</v>
      </c>
      <c r="G345" t="s">
        <v>25</v>
      </c>
      <c r="H345">
        <v>20</v>
      </c>
      <c r="I345">
        <v>12</v>
      </c>
      <c r="J345">
        <v>4.7</v>
      </c>
      <c r="L345">
        <v>1.4</v>
      </c>
      <c r="O345">
        <v>40</v>
      </c>
      <c r="P345">
        <v>65</v>
      </c>
      <c r="R345">
        <v>0.35</v>
      </c>
      <c r="S345">
        <v>1.4</v>
      </c>
      <c r="T345">
        <v>8</v>
      </c>
      <c r="U345" t="s">
        <v>635</v>
      </c>
      <c r="V345">
        <v>713</v>
      </c>
      <c r="X345" t="s">
        <v>125</v>
      </c>
    </row>
    <row r="346" spans="1:24">
      <c r="A346" t="str">
        <f>Hyperlink("https://www.diodes.com/part/view/DMN2041UVT","DMN2041UVT")</f>
        <v>DMN2041UVT</v>
      </c>
      <c r="B346" t="str">
        <f>Hyperlink("https://www.diodes.com/assets/Datasheets/DMN2041UVT.pdf","DMN2041UVT Datasheet")</f>
        <v>DMN2041UVT Datasheet</v>
      </c>
      <c r="C346" t="s">
        <v>34</v>
      </c>
      <c r="D346" t="s">
        <v>28</v>
      </c>
      <c r="E346" t="s">
        <v>26</v>
      </c>
      <c r="F346" t="s">
        <v>35</v>
      </c>
      <c r="G346" t="s">
        <v>28</v>
      </c>
      <c r="H346">
        <v>20</v>
      </c>
      <c r="I346">
        <v>8</v>
      </c>
      <c r="J346">
        <v>5.8</v>
      </c>
      <c r="L346">
        <v>1.1</v>
      </c>
      <c r="O346">
        <v>28</v>
      </c>
      <c r="P346">
        <v>32</v>
      </c>
      <c r="Q346">
        <v>40</v>
      </c>
      <c r="R346">
        <v>0.4</v>
      </c>
      <c r="S346">
        <v>0.9</v>
      </c>
      <c r="T346">
        <v>9.1</v>
      </c>
      <c r="V346">
        <v>689</v>
      </c>
      <c r="W346">
        <v>10</v>
      </c>
      <c r="X346" t="s">
        <v>128</v>
      </c>
    </row>
    <row r="347" spans="1:24">
      <c r="A347" t="str">
        <f>Hyperlink("https://www.diodes.com/part/view/DMN2044UCB4","DMN2044UCB4")</f>
        <v>DMN2044UCB4</v>
      </c>
      <c r="B347" t="str">
        <f>Hyperlink("https://www.diodes.com/assets/Datasheets/DMN2044UCB4.pdf","DMN2044UCB4 Datasheet")</f>
        <v>DMN2044UCB4 Datasheet</v>
      </c>
      <c r="C347" t="s">
        <v>24</v>
      </c>
      <c r="D347" t="s">
        <v>28</v>
      </c>
      <c r="E347" t="s">
        <v>26</v>
      </c>
      <c r="F347" t="s">
        <v>27</v>
      </c>
      <c r="G347" t="s">
        <v>28</v>
      </c>
      <c r="H347">
        <v>20</v>
      </c>
      <c r="I347">
        <v>8</v>
      </c>
      <c r="J347">
        <v>4.5</v>
      </c>
      <c r="L347">
        <v>1.18</v>
      </c>
      <c r="O347">
        <v>40</v>
      </c>
      <c r="P347">
        <v>50</v>
      </c>
      <c r="Q347">
        <v>56</v>
      </c>
      <c r="R347">
        <v>0.4</v>
      </c>
      <c r="S347">
        <v>0.9</v>
      </c>
      <c r="T347">
        <v>13.1</v>
      </c>
      <c r="U347" t="s">
        <v>636</v>
      </c>
      <c r="V347">
        <v>1056</v>
      </c>
      <c r="W347">
        <v>10</v>
      </c>
      <c r="X347" t="s">
        <v>637</v>
      </c>
    </row>
    <row r="348" spans="1:24">
      <c r="A348" t="str">
        <f>Hyperlink("https://www.diodes.com/part/view/DMN2046U","DMN2046U")</f>
        <v>DMN2046U</v>
      </c>
      <c r="B348" t="str">
        <f>Hyperlink("https://www.diodes.com/assets/Datasheets/DMN2046U.pdf","DMN2046U Datasheet")</f>
        <v>DMN2046U Datasheet</v>
      </c>
      <c r="C348" t="s">
        <v>24</v>
      </c>
      <c r="D348" t="s">
        <v>28</v>
      </c>
      <c r="E348" t="s">
        <v>26</v>
      </c>
      <c r="F348" t="s">
        <v>27</v>
      </c>
      <c r="G348" t="s">
        <v>25</v>
      </c>
      <c r="H348">
        <v>20</v>
      </c>
      <c r="I348">
        <v>12</v>
      </c>
      <c r="J348">
        <v>3.4</v>
      </c>
      <c r="L348">
        <v>1.26</v>
      </c>
      <c r="O348">
        <v>72</v>
      </c>
      <c r="P348">
        <v>110</v>
      </c>
      <c r="R348">
        <v>0.4</v>
      </c>
      <c r="S348">
        <v>1.4</v>
      </c>
      <c r="T348">
        <v>3.8</v>
      </c>
      <c r="V348">
        <v>292</v>
      </c>
      <c r="X348" t="s">
        <v>32</v>
      </c>
    </row>
    <row r="349" spans="1:24">
      <c r="A349" t="str">
        <f>Hyperlink("https://www.diodes.com/part/view/DMN2046UVT","DMN2046UVT")</f>
        <v>DMN2046UVT</v>
      </c>
      <c r="B349" t="str">
        <f>Hyperlink("https://www.diodes.com/assets/Datasheets/DMN2046UVT.pdf","DMN2046UVT Datasheet")</f>
        <v>DMN2046UVT Datasheet</v>
      </c>
      <c r="C349" t="s">
        <v>34</v>
      </c>
      <c r="D349" t="s">
        <v>28</v>
      </c>
      <c r="E349" t="s">
        <v>26</v>
      </c>
      <c r="F349" t="s">
        <v>35</v>
      </c>
      <c r="G349" t="s">
        <v>25</v>
      </c>
      <c r="H349">
        <v>20</v>
      </c>
      <c r="I349">
        <v>12</v>
      </c>
      <c r="J349">
        <v>2.6</v>
      </c>
      <c r="L349">
        <v>0.59</v>
      </c>
      <c r="O349">
        <v>90</v>
      </c>
      <c r="P349">
        <v>130</v>
      </c>
      <c r="R349">
        <v>0.4</v>
      </c>
      <c r="S349">
        <v>1.4</v>
      </c>
      <c r="T349">
        <v>3.6</v>
      </c>
      <c r="U349">
        <v>7.4</v>
      </c>
      <c r="V349">
        <v>278</v>
      </c>
      <c r="W349">
        <v>10</v>
      </c>
      <c r="X349" t="s">
        <v>128</v>
      </c>
    </row>
    <row r="350" spans="1:24">
      <c r="A350" t="str">
        <f>Hyperlink("https://www.diodes.com/part/view/DMN2046UW","DMN2046UW")</f>
        <v>DMN2046UW</v>
      </c>
      <c r="B350" t="str">
        <f>Hyperlink("https://www.diodes.com/assets/Datasheets/DMN2046UW.pdf","DMN2046UW Datasheet")</f>
        <v>DMN2046UW Datasheet</v>
      </c>
      <c r="C350" t="s">
        <v>638</v>
      </c>
      <c r="D350" t="s">
        <v>28</v>
      </c>
      <c r="E350" t="s">
        <v>26</v>
      </c>
      <c r="F350" t="s">
        <v>27</v>
      </c>
      <c r="G350" t="s">
        <v>25</v>
      </c>
      <c r="H350">
        <v>20</v>
      </c>
      <c r="I350">
        <v>12</v>
      </c>
      <c r="J350">
        <v>2.1</v>
      </c>
      <c r="L350">
        <v>0.63</v>
      </c>
      <c r="O350">
        <v>90</v>
      </c>
      <c r="P350">
        <v>130</v>
      </c>
      <c r="R350">
        <v>0.4</v>
      </c>
      <c r="S350">
        <v>1.4</v>
      </c>
      <c r="T350">
        <v>3.6</v>
      </c>
      <c r="V350">
        <v>278</v>
      </c>
      <c r="W350">
        <v>10</v>
      </c>
      <c r="X350" t="s">
        <v>60</v>
      </c>
    </row>
    <row r="351" spans="1:24">
      <c r="A351" t="str">
        <f>Hyperlink("https://www.diodes.com/part/view/DMN2050L","DMN2050L")</f>
        <v>DMN2050L</v>
      </c>
      <c r="B351" t="str">
        <f>Hyperlink("https://www.diodes.com/assets/Datasheets/ds31502.pdf","DMN2050L Datasheet")</f>
        <v>DMN2050L Datasheet</v>
      </c>
      <c r="C351" t="s">
        <v>24</v>
      </c>
      <c r="D351" t="s">
        <v>25</v>
      </c>
      <c r="E351" t="s">
        <v>26</v>
      </c>
      <c r="F351" t="s">
        <v>27</v>
      </c>
      <c r="G351" t="s">
        <v>28</v>
      </c>
      <c r="H351">
        <v>20</v>
      </c>
      <c r="I351">
        <v>12</v>
      </c>
      <c r="J351">
        <v>5.9</v>
      </c>
      <c r="L351">
        <v>1.4</v>
      </c>
      <c r="O351">
        <v>29</v>
      </c>
      <c r="P351">
        <v>50</v>
      </c>
      <c r="R351">
        <v>0.45</v>
      </c>
      <c r="S351">
        <v>1.4</v>
      </c>
      <c r="U351">
        <v>6.7</v>
      </c>
      <c r="V351">
        <v>532</v>
      </c>
      <c r="X351" t="s">
        <v>32</v>
      </c>
    </row>
    <row r="352" spans="1:24">
      <c r="A352" t="str">
        <f>Hyperlink("https://www.diodes.com/part/view/DMN2050LFDB","DMN2050LFDB")</f>
        <v>DMN2050LFDB</v>
      </c>
      <c r="B352" t="str">
        <f>Hyperlink("https://www.diodes.com/assets/Datasheets/DMN2050LFDB.pdf","DMN2050LFDB Datasheet")</f>
        <v>DMN2050LFDB Datasheet</v>
      </c>
      <c r="C352" t="s">
        <v>34</v>
      </c>
      <c r="D352" t="s">
        <v>25</v>
      </c>
      <c r="E352" t="s">
        <v>26</v>
      </c>
      <c r="F352" t="s">
        <v>35</v>
      </c>
      <c r="G352" t="s">
        <v>28</v>
      </c>
      <c r="H352">
        <v>20</v>
      </c>
      <c r="I352">
        <v>12</v>
      </c>
      <c r="J352">
        <v>4.5</v>
      </c>
      <c r="L352">
        <v>1.42</v>
      </c>
      <c r="O352">
        <v>45</v>
      </c>
      <c r="P352">
        <v>55</v>
      </c>
      <c r="R352">
        <v>0.4</v>
      </c>
      <c r="S352">
        <v>1</v>
      </c>
      <c r="T352">
        <v>5.7</v>
      </c>
      <c r="U352">
        <v>12</v>
      </c>
      <c r="V352">
        <v>389</v>
      </c>
      <c r="X352" t="s">
        <v>125</v>
      </c>
    </row>
    <row r="353" spans="1:24">
      <c r="A353" t="str">
        <f>Hyperlink("https://www.diodes.com/part/view/DMN2050LQ","DMN2050LQ")</f>
        <v>DMN2050LQ</v>
      </c>
      <c r="B353" t="str">
        <f>Hyperlink("https://www.diodes.com/assets/Datasheets/DMN2050LQ.pdf","DMN2050LQ Datasheet")</f>
        <v>DMN2050LQ Datasheet</v>
      </c>
      <c r="C353" t="s">
        <v>24</v>
      </c>
      <c r="D353" t="s">
        <v>25</v>
      </c>
      <c r="E353" t="s">
        <v>33</v>
      </c>
      <c r="F353" t="s">
        <v>27</v>
      </c>
      <c r="G353" t="s">
        <v>28</v>
      </c>
      <c r="H353">
        <v>20</v>
      </c>
      <c r="I353">
        <v>12</v>
      </c>
      <c r="J353">
        <v>5.9</v>
      </c>
      <c r="L353">
        <v>1.4</v>
      </c>
      <c r="O353">
        <v>29</v>
      </c>
      <c r="P353">
        <v>50</v>
      </c>
      <c r="R353">
        <v>0.45</v>
      </c>
      <c r="S353">
        <v>1.4</v>
      </c>
      <c r="U353">
        <v>6.7</v>
      </c>
      <c r="V353">
        <v>532</v>
      </c>
      <c r="W353">
        <v>10</v>
      </c>
      <c r="X353" t="s">
        <v>32</v>
      </c>
    </row>
    <row r="354" spans="1:24">
      <c r="A354" t="str">
        <f>Hyperlink("https://www.diodes.com/part/view/DMN2053U","DMN2053U")</f>
        <v>DMN2053U</v>
      </c>
      <c r="B354" t="str">
        <f>Hyperlink("https://www.diodes.com/assets/Datasheets/DMN2053U.pdf","DMN2053U Datasheet")</f>
        <v>DMN2053U Datasheet</v>
      </c>
      <c r="C354" t="s">
        <v>34</v>
      </c>
      <c r="D354" t="s">
        <v>28</v>
      </c>
      <c r="E354" t="s">
        <v>26</v>
      </c>
      <c r="F354" t="s">
        <v>27</v>
      </c>
      <c r="G354" t="s">
        <v>28</v>
      </c>
      <c r="H354">
        <v>20</v>
      </c>
      <c r="I354">
        <v>12</v>
      </c>
      <c r="J354">
        <v>6.5</v>
      </c>
      <c r="L354">
        <v>1.3</v>
      </c>
      <c r="N354">
        <v>29</v>
      </c>
      <c r="O354">
        <v>35</v>
      </c>
      <c r="P354">
        <v>48</v>
      </c>
      <c r="Q354">
        <v>91</v>
      </c>
      <c r="R354">
        <v>0.5</v>
      </c>
      <c r="S354">
        <v>1.2</v>
      </c>
      <c r="T354">
        <v>4.6</v>
      </c>
      <c r="V354">
        <v>414</v>
      </c>
      <c r="W354">
        <v>10</v>
      </c>
      <c r="X354" t="s">
        <v>32</v>
      </c>
    </row>
    <row r="355" spans="1:24">
      <c r="A355" t="str">
        <f>Hyperlink("https://www.diodes.com/part/view/DMN2053UFDB","DMN2053UFDB")</f>
        <v>DMN2053UFDB</v>
      </c>
      <c r="B355" t="str">
        <f>Hyperlink("https://www.diodes.com/assets/Datasheets/DMN2053UFDB.pdf","DMN2053UFDB Datasheet")</f>
        <v>DMN2053UFDB Datasheet</v>
      </c>
      <c r="C355" t="s">
        <v>34</v>
      </c>
      <c r="D355" t="s">
        <v>28</v>
      </c>
      <c r="E355" t="s">
        <v>26</v>
      </c>
      <c r="F355" t="s">
        <v>35</v>
      </c>
      <c r="G355" t="s">
        <v>28</v>
      </c>
      <c r="H355">
        <v>20</v>
      </c>
      <c r="I355">
        <v>12</v>
      </c>
      <c r="J355">
        <v>4.6</v>
      </c>
      <c r="L355">
        <v>1.1</v>
      </c>
      <c r="O355">
        <v>35</v>
      </c>
      <c r="P355">
        <v>43</v>
      </c>
      <c r="Q355">
        <v>56</v>
      </c>
      <c r="S355">
        <v>1</v>
      </c>
      <c r="T355">
        <v>3.6</v>
      </c>
      <c r="X355" t="s">
        <v>125</v>
      </c>
    </row>
    <row r="356" spans="1:24">
      <c r="A356" t="str">
        <f>Hyperlink("https://www.diodes.com/part/view/DMN2053UFDBQ","DMN2053UFDBQ")</f>
        <v>DMN2053UFDBQ</v>
      </c>
      <c r="B356" t="str">
        <f>Hyperlink("https://www.diodes.com/assets/Datasheets/DMN2053UFDBQ.pdf","DMN2053UFDBQ Datasheet")</f>
        <v>DMN2053UFDBQ Datasheet</v>
      </c>
      <c r="C356" t="s">
        <v>34</v>
      </c>
      <c r="D356" t="s">
        <v>25</v>
      </c>
      <c r="E356" t="s">
        <v>33</v>
      </c>
      <c r="F356" t="s">
        <v>35</v>
      </c>
      <c r="G356" t="s">
        <v>28</v>
      </c>
      <c r="H356">
        <v>20</v>
      </c>
      <c r="I356">
        <v>12</v>
      </c>
      <c r="J356">
        <v>4.6</v>
      </c>
      <c r="L356">
        <v>1.1</v>
      </c>
      <c r="O356">
        <v>35</v>
      </c>
      <c r="P356">
        <v>43</v>
      </c>
      <c r="Q356">
        <v>56</v>
      </c>
      <c r="S356">
        <v>1</v>
      </c>
      <c r="T356">
        <v>3.6</v>
      </c>
      <c r="X356" t="s">
        <v>125</v>
      </c>
    </row>
    <row r="357" spans="1:24">
      <c r="A357" t="str">
        <f>Hyperlink("https://www.diodes.com/part/view/DMN2053UQ","DMN2053UQ")</f>
        <v>DMN2053UQ</v>
      </c>
      <c r="B357" t="str">
        <f>Hyperlink("https://www.diodes.com/assets/Datasheets/DMN2053UQ.pdf","DMN2053UQ Datasheet")</f>
        <v>DMN2053UQ Datasheet</v>
      </c>
      <c r="C357" t="s">
        <v>24</v>
      </c>
      <c r="D357" t="s">
        <v>25</v>
      </c>
      <c r="E357" t="s">
        <v>33</v>
      </c>
      <c r="F357" t="s">
        <v>27</v>
      </c>
      <c r="G357" t="s">
        <v>28</v>
      </c>
      <c r="H357">
        <v>20</v>
      </c>
      <c r="I357">
        <v>12</v>
      </c>
      <c r="J357">
        <v>6.5</v>
      </c>
      <c r="L357">
        <v>1.3</v>
      </c>
      <c r="N357">
        <v>29</v>
      </c>
      <c r="O357">
        <v>35</v>
      </c>
      <c r="P357">
        <v>48</v>
      </c>
      <c r="Q357">
        <v>91</v>
      </c>
      <c r="R357">
        <v>0.5</v>
      </c>
      <c r="S357">
        <v>1.2</v>
      </c>
      <c r="T357">
        <v>4.6</v>
      </c>
      <c r="V357">
        <v>414</v>
      </c>
      <c r="W357">
        <v>10</v>
      </c>
      <c r="X357" t="s">
        <v>32</v>
      </c>
    </row>
    <row r="358" spans="1:24">
      <c r="A358" t="str">
        <f>Hyperlink("https://www.diodes.com/part/view/DMN2053UVT","DMN2053UVT")</f>
        <v>DMN2053UVT</v>
      </c>
      <c r="B358" t="str">
        <f>Hyperlink("https://www.diodes.com/assets/Datasheets/DMN2053UVT.pdf","DMN2053UVT Datasheet")</f>
        <v>DMN2053UVT Datasheet</v>
      </c>
      <c r="C358" t="s">
        <v>639</v>
      </c>
      <c r="D358" t="s">
        <v>28</v>
      </c>
      <c r="E358" t="s">
        <v>26</v>
      </c>
      <c r="F358" t="s">
        <v>35</v>
      </c>
      <c r="G358" t="s">
        <v>28</v>
      </c>
      <c r="H358">
        <v>20</v>
      </c>
      <c r="I358">
        <v>12</v>
      </c>
      <c r="J358">
        <v>4.6</v>
      </c>
      <c r="L358">
        <v>1.1</v>
      </c>
      <c r="O358">
        <v>35</v>
      </c>
      <c r="P358">
        <v>43</v>
      </c>
      <c r="Q358">
        <v>56</v>
      </c>
      <c r="R358">
        <v>0.4</v>
      </c>
      <c r="S358">
        <v>1</v>
      </c>
      <c r="T358">
        <v>3.6</v>
      </c>
      <c r="V358">
        <v>369</v>
      </c>
      <c r="W358">
        <v>10</v>
      </c>
      <c r="X358" t="s">
        <v>128</v>
      </c>
    </row>
    <row r="359" spans="1:24">
      <c r="A359" t="str">
        <f>Hyperlink("https://www.diodes.com/part/view/DMN2053UVTQ","DMN2053UVTQ")</f>
        <v>DMN2053UVTQ</v>
      </c>
      <c r="B359" t="str">
        <f>Hyperlink("https://www.diodes.com/assets/Datasheets/DMN2053UVTQ.pdf","DMN2053UVTQ Datasheet")</f>
        <v>DMN2053UVTQ Datasheet</v>
      </c>
      <c r="C359" t="s">
        <v>34</v>
      </c>
      <c r="D359" t="s">
        <v>25</v>
      </c>
      <c r="E359" t="s">
        <v>33</v>
      </c>
      <c r="F359" t="s">
        <v>35</v>
      </c>
      <c r="G359" t="s">
        <v>28</v>
      </c>
      <c r="H359">
        <v>20</v>
      </c>
      <c r="I359">
        <v>12</v>
      </c>
      <c r="J359">
        <v>4.6</v>
      </c>
      <c r="L359">
        <v>1.1</v>
      </c>
      <c r="O359">
        <v>35</v>
      </c>
      <c r="P359">
        <v>43</v>
      </c>
      <c r="Q359">
        <v>56</v>
      </c>
      <c r="R359">
        <v>0.4</v>
      </c>
      <c r="S359">
        <v>1</v>
      </c>
      <c r="T359">
        <v>3.6</v>
      </c>
      <c r="V359">
        <v>369</v>
      </c>
      <c r="W359">
        <v>10</v>
      </c>
      <c r="X359" t="s">
        <v>128</v>
      </c>
    </row>
    <row r="360" spans="1:24">
      <c r="A360" t="str">
        <f>Hyperlink("https://www.diodes.com/part/view/DMN2053UW","DMN2053UW")</f>
        <v>DMN2053UW</v>
      </c>
      <c r="B360" t="str">
        <f>Hyperlink("https://www.diodes.com/assets/Datasheets/DMN2053UW.pdf","DMN2053UW Datasheet")</f>
        <v>DMN2053UW Datasheet</v>
      </c>
      <c r="C360" t="s">
        <v>616</v>
      </c>
      <c r="D360" t="s">
        <v>28</v>
      </c>
      <c r="E360" t="s">
        <v>26</v>
      </c>
      <c r="F360" t="s">
        <v>27</v>
      </c>
      <c r="G360" t="s">
        <v>28</v>
      </c>
      <c r="H360">
        <v>20</v>
      </c>
      <c r="I360">
        <v>12</v>
      </c>
      <c r="J360">
        <v>2.9</v>
      </c>
      <c r="L360">
        <v>0.7</v>
      </c>
      <c r="O360">
        <v>56</v>
      </c>
      <c r="P360">
        <v>65</v>
      </c>
      <c r="Q360">
        <v>93</v>
      </c>
      <c r="R360">
        <v>0.35</v>
      </c>
      <c r="S360">
        <v>1</v>
      </c>
      <c r="T360">
        <v>3.6</v>
      </c>
      <c r="V360">
        <v>369</v>
      </c>
      <c r="W360">
        <v>10</v>
      </c>
      <c r="X360" t="s">
        <v>60</v>
      </c>
    </row>
    <row r="361" spans="1:24">
      <c r="A361" t="str">
        <f>Hyperlink("https://www.diodes.com/part/view/DMN2053UWQ","DMN2053UWQ")</f>
        <v>DMN2053UWQ</v>
      </c>
      <c r="B361" t="str">
        <f>Hyperlink("https://www.diodes.com/assets/Datasheets/DMN2053UWQ.pdf","DMN2053UWQ Datasheet")</f>
        <v>DMN2053UWQ Datasheet</v>
      </c>
      <c r="C361" t="s">
        <v>616</v>
      </c>
      <c r="D361" t="s">
        <v>25</v>
      </c>
      <c r="E361" t="s">
        <v>33</v>
      </c>
      <c r="F361" t="s">
        <v>27</v>
      </c>
      <c r="G361" t="s">
        <v>28</v>
      </c>
      <c r="H361">
        <v>20</v>
      </c>
      <c r="I361">
        <v>12</v>
      </c>
      <c r="J361">
        <v>2.9</v>
      </c>
      <c r="L361">
        <v>0.7</v>
      </c>
      <c r="O361">
        <v>56</v>
      </c>
      <c r="P361">
        <v>65</v>
      </c>
      <c r="Q361">
        <v>93</v>
      </c>
      <c r="R361">
        <v>0.35</v>
      </c>
      <c r="S361">
        <v>1</v>
      </c>
      <c r="T361">
        <v>3.6</v>
      </c>
      <c r="V361">
        <v>369</v>
      </c>
      <c r="W361">
        <v>10</v>
      </c>
      <c r="X361" t="s">
        <v>60</v>
      </c>
    </row>
    <row r="362" spans="1:24">
      <c r="A362" t="str">
        <f>Hyperlink("https://www.diodes.com/part/view/DMN2055U","DMN2055U")</f>
        <v>DMN2055U</v>
      </c>
      <c r="B362" t="str">
        <f>Hyperlink("https://www.diodes.com/assets/Datasheets/DMN2055U.pdf","DMN2055U Datasheet")</f>
        <v>DMN2055U Datasheet</v>
      </c>
      <c r="C362" t="s">
        <v>24</v>
      </c>
      <c r="D362" t="s">
        <v>28</v>
      </c>
      <c r="E362" t="s">
        <v>26</v>
      </c>
      <c r="F362" t="s">
        <v>27</v>
      </c>
      <c r="G362" t="s">
        <v>28</v>
      </c>
      <c r="H362">
        <v>20</v>
      </c>
      <c r="I362">
        <v>8</v>
      </c>
      <c r="J362">
        <v>4.8</v>
      </c>
      <c r="L362">
        <v>1.2</v>
      </c>
      <c r="O362">
        <v>38</v>
      </c>
      <c r="P362">
        <v>45</v>
      </c>
      <c r="R362">
        <v>0.4</v>
      </c>
      <c r="S362">
        <v>1</v>
      </c>
      <c r="T362">
        <v>4.3</v>
      </c>
      <c r="V362">
        <v>400</v>
      </c>
      <c r="W362">
        <v>10</v>
      </c>
      <c r="X362" t="s">
        <v>32</v>
      </c>
    </row>
    <row r="363" spans="1:24">
      <c r="A363" t="str">
        <f>Hyperlink("https://www.diodes.com/part/view/DMN2055UQ","DMN2055UQ")</f>
        <v>DMN2055UQ</v>
      </c>
      <c r="B363" t="str">
        <f>Hyperlink("https://www.diodes.com/assets/Datasheets/DMN2055UQ.pdf","DMN2055UQ Datasheet")</f>
        <v>DMN2055UQ Datasheet</v>
      </c>
      <c r="C363" t="s">
        <v>24</v>
      </c>
      <c r="D363" t="s">
        <v>25</v>
      </c>
      <c r="E363" t="s">
        <v>33</v>
      </c>
      <c r="F363" t="s">
        <v>27</v>
      </c>
      <c r="G363" t="s">
        <v>28</v>
      </c>
      <c r="H363">
        <v>20</v>
      </c>
      <c r="I363">
        <v>8</v>
      </c>
      <c r="J363">
        <v>4.8</v>
      </c>
      <c r="L363">
        <v>1.2</v>
      </c>
      <c r="O363">
        <v>38</v>
      </c>
      <c r="P363">
        <v>45</v>
      </c>
      <c r="R363">
        <v>0.4</v>
      </c>
      <c r="S363">
        <v>1</v>
      </c>
      <c r="T363">
        <v>4.3</v>
      </c>
      <c r="V363">
        <v>400</v>
      </c>
      <c r="W363">
        <v>10</v>
      </c>
      <c r="X363" t="s">
        <v>32</v>
      </c>
    </row>
    <row r="364" spans="1:24">
      <c r="A364" t="str">
        <f>Hyperlink("https://www.diodes.com/part/view/DMN2055UW","DMN2055UW")</f>
        <v>DMN2055UW</v>
      </c>
      <c r="B364" t="str">
        <f>Hyperlink("https://www.diodes.com/assets/Datasheets/DMN2055UW.pdf","DMN2055UW Datasheet")</f>
        <v>DMN2055UW Datasheet</v>
      </c>
      <c r="C364" t="s">
        <v>24</v>
      </c>
      <c r="D364" t="s">
        <v>28</v>
      </c>
      <c r="E364" t="s">
        <v>26</v>
      </c>
      <c r="F364" t="s">
        <v>27</v>
      </c>
      <c r="G364" t="s">
        <v>28</v>
      </c>
      <c r="H364">
        <v>20</v>
      </c>
      <c r="I364">
        <v>8</v>
      </c>
      <c r="J364">
        <v>3.1</v>
      </c>
      <c r="L364">
        <v>0.65</v>
      </c>
      <c r="O364">
        <v>46</v>
      </c>
      <c r="P364">
        <v>53</v>
      </c>
      <c r="R364">
        <v>0.4</v>
      </c>
      <c r="S364">
        <v>1</v>
      </c>
      <c r="T364">
        <v>4.3</v>
      </c>
      <c r="V364">
        <v>400</v>
      </c>
      <c r="W364">
        <v>10</v>
      </c>
      <c r="X364" t="s">
        <v>60</v>
      </c>
    </row>
    <row r="365" spans="1:24">
      <c r="A365" t="str">
        <f>Hyperlink("https://www.diodes.com/part/view/DMN2055UWQ","DMN2055UWQ")</f>
        <v>DMN2055UWQ</v>
      </c>
      <c r="B365" t="str">
        <f>Hyperlink("https://www.diodes.com/assets/Datasheets/DMN2055UWQ.pdf","DMN2055UWQ Datasheet")</f>
        <v>DMN2055UWQ Datasheet</v>
      </c>
      <c r="C365" t="s">
        <v>24</v>
      </c>
      <c r="D365" t="s">
        <v>25</v>
      </c>
      <c r="E365" t="s">
        <v>33</v>
      </c>
      <c r="F365" t="s">
        <v>27</v>
      </c>
      <c r="G365" t="s">
        <v>28</v>
      </c>
      <c r="H365">
        <v>20</v>
      </c>
      <c r="I365">
        <v>8</v>
      </c>
      <c r="J365">
        <v>3.1</v>
      </c>
      <c r="L365">
        <v>0.65</v>
      </c>
      <c r="O365">
        <v>46</v>
      </c>
      <c r="P365">
        <v>53</v>
      </c>
      <c r="R365">
        <v>0.4</v>
      </c>
      <c r="S365">
        <v>1</v>
      </c>
      <c r="T365">
        <v>4.3</v>
      </c>
      <c r="V365">
        <v>400</v>
      </c>
      <c r="W365">
        <v>10</v>
      </c>
      <c r="X365" t="s">
        <v>60</v>
      </c>
    </row>
    <row r="366" spans="1:24">
      <c r="A366" t="str">
        <f>Hyperlink("https://www.diodes.com/part/view/DMN2056U","DMN2056U")</f>
        <v>DMN2056U</v>
      </c>
      <c r="B366" t="str">
        <f>Hyperlink("https://www.diodes.com/assets/Datasheets/DMN2056U.pdf","DMN2056U Datasheet")</f>
        <v>DMN2056U Datasheet</v>
      </c>
      <c r="C366" t="s">
        <v>616</v>
      </c>
      <c r="D366" t="s">
        <v>25</v>
      </c>
      <c r="E366" t="s">
        <v>26</v>
      </c>
      <c r="F366" t="s">
        <v>27</v>
      </c>
      <c r="G366" t="s">
        <v>28</v>
      </c>
      <c r="H366">
        <v>20</v>
      </c>
      <c r="I366">
        <v>8</v>
      </c>
      <c r="J366">
        <v>4</v>
      </c>
      <c r="L366">
        <v>0.94</v>
      </c>
      <c r="O366">
        <v>38</v>
      </c>
      <c r="P366">
        <v>45</v>
      </c>
      <c r="Q366">
        <v>85</v>
      </c>
      <c r="R366">
        <v>0.4</v>
      </c>
      <c r="S366">
        <v>1</v>
      </c>
      <c r="T366">
        <v>4.3</v>
      </c>
      <c r="V366">
        <v>339</v>
      </c>
      <c r="W366">
        <v>10</v>
      </c>
      <c r="X366" t="s">
        <v>32</v>
      </c>
    </row>
    <row r="367" spans="1:24">
      <c r="A367" t="str">
        <f>Hyperlink("https://www.diodes.com/part/view/DMN2058U","DMN2058U")</f>
        <v>DMN2058U</v>
      </c>
      <c r="B367" t="str">
        <f>Hyperlink("https://www.diodes.com/assets/Datasheets/DMN2058U.pdf","DMN2058U Datasheet")</f>
        <v>DMN2058U Datasheet</v>
      </c>
      <c r="C367" t="s">
        <v>616</v>
      </c>
      <c r="D367" t="s">
        <v>25</v>
      </c>
      <c r="E367" t="s">
        <v>26</v>
      </c>
      <c r="F367" t="s">
        <v>27</v>
      </c>
      <c r="G367" t="s">
        <v>28</v>
      </c>
      <c r="H367">
        <v>20</v>
      </c>
      <c r="I367">
        <v>12</v>
      </c>
      <c r="J367">
        <v>4.6</v>
      </c>
      <c r="L367">
        <v>1.13</v>
      </c>
      <c r="N367">
        <v>35</v>
      </c>
      <c r="O367">
        <v>40</v>
      </c>
      <c r="P367">
        <v>60</v>
      </c>
      <c r="Q367">
        <v>91</v>
      </c>
      <c r="R367">
        <v>0.4</v>
      </c>
      <c r="S367">
        <v>1.2</v>
      </c>
      <c r="T367">
        <v>3.6</v>
      </c>
      <c r="U367">
        <v>7.7</v>
      </c>
      <c r="V367">
        <v>281</v>
      </c>
      <c r="W367">
        <v>10</v>
      </c>
      <c r="X367" t="s">
        <v>32</v>
      </c>
    </row>
    <row r="368" spans="1:24">
      <c r="A368" t="str">
        <f>Hyperlink("https://www.diodes.com/part/view/DMN2058UW","DMN2058UW")</f>
        <v>DMN2058UW</v>
      </c>
      <c r="B368" t="str">
        <f>Hyperlink("https://www.diodes.com/assets/Datasheets/DMN2058UW.pdf","DMN2058UW Datasheet")</f>
        <v>DMN2058UW Datasheet</v>
      </c>
      <c r="C368" t="s">
        <v>24</v>
      </c>
      <c r="D368" t="s">
        <v>28</v>
      </c>
      <c r="E368" t="s">
        <v>26</v>
      </c>
      <c r="F368" t="s">
        <v>27</v>
      </c>
      <c r="G368" t="s">
        <v>28</v>
      </c>
      <c r="H368">
        <v>20</v>
      </c>
      <c r="I368">
        <v>12</v>
      </c>
      <c r="J368">
        <v>3.5</v>
      </c>
      <c r="L368">
        <v>0.7</v>
      </c>
      <c r="N368">
        <v>42</v>
      </c>
      <c r="O368">
        <v>45</v>
      </c>
      <c r="P368">
        <v>60</v>
      </c>
      <c r="Q368">
        <v>91</v>
      </c>
      <c r="R368">
        <v>0.4</v>
      </c>
      <c r="S368">
        <v>1.2</v>
      </c>
      <c r="T368">
        <v>3.6</v>
      </c>
      <c r="U368">
        <v>7.7</v>
      </c>
      <c r="V368">
        <v>281</v>
      </c>
      <c r="W368">
        <v>10</v>
      </c>
      <c r="X368" t="s">
        <v>60</v>
      </c>
    </row>
    <row r="369" spans="1:24">
      <c r="A369" t="str">
        <f>Hyperlink("https://www.diodes.com/part/view/DMN2075U","DMN2075U")</f>
        <v>DMN2075U</v>
      </c>
      <c r="B369" t="str">
        <f>Hyperlink("https://www.diodes.com/assets/Datasheets/DMN2075U.pdf","DMN2075U Datasheet")</f>
        <v>DMN2075U Datasheet</v>
      </c>
      <c r="C369" t="s">
        <v>24</v>
      </c>
      <c r="D369" t="s">
        <v>25</v>
      </c>
      <c r="E369" t="s">
        <v>26</v>
      </c>
      <c r="F369" t="s">
        <v>27</v>
      </c>
      <c r="G369" t="s">
        <v>28</v>
      </c>
      <c r="H369">
        <v>20</v>
      </c>
      <c r="I369">
        <v>8</v>
      </c>
      <c r="J369">
        <v>4.2</v>
      </c>
      <c r="L369">
        <v>0.8</v>
      </c>
      <c r="O369">
        <v>38</v>
      </c>
      <c r="P369">
        <v>45</v>
      </c>
      <c r="R369">
        <v>0.4</v>
      </c>
      <c r="S369">
        <v>1</v>
      </c>
      <c r="T369">
        <v>7</v>
      </c>
      <c r="V369">
        <v>594</v>
      </c>
      <c r="X369" t="s">
        <v>32</v>
      </c>
    </row>
    <row r="370" spans="1:24">
      <c r="A370" t="str">
        <f>Hyperlink("https://www.diodes.com/part/view/DMN2075UDW","DMN2075UDW")</f>
        <v>DMN2075UDW</v>
      </c>
      <c r="B370" t="str">
        <f>Hyperlink("https://www.diodes.com/assets/Datasheets/DMN2075UDW.pdf","DMN2075UDW Datasheet")</f>
        <v>DMN2075UDW Datasheet</v>
      </c>
      <c r="C370" t="s">
        <v>24</v>
      </c>
      <c r="D370" t="s">
        <v>25</v>
      </c>
      <c r="E370" t="s">
        <v>26</v>
      </c>
      <c r="F370" t="s">
        <v>27</v>
      </c>
      <c r="G370" t="s">
        <v>28</v>
      </c>
      <c r="H370">
        <v>20</v>
      </c>
      <c r="I370">
        <v>8</v>
      </c>
      <c r="J370">
        <v>2.8</v>
      </c>
      <c r="L370">
        <v>0.58</v>
      </c>
      <c r="O370">
        <v>48</v>
      </c>
      <c r="P370">
        <v>59</v>
      </c>
      <c r="Q370">
        <v>70</v>
      </c>
      <c r="R370">
        <v>0.4</v>
      </c>
      <c r="S370">
        <v>1</v>
      </c>
      <c r="T370">
        <v>7</v>
      </c>
      <c r="V370">
        <v>594</v>
      </c>
      <c r="X370" t="s">
        <v>37</v>
      </c>
    </row>
    <row r="371" spans="1:24">
      <c r="A371" t="str">
        <f>Hyperlink("https://www.diodes.com/part/view/DMN2080UCB4","DMN2080UCB4")</f>
        <v>DMN2080UCB4</v>
      </c>
      <c r="B371" t="str">
        <f>Hyperlink("https://www.diodes.com/assets/Datasheets/DMN2080UCB4.pdf","DMN2080UCB4 Datasheet")</f>
        <v>DMN2080UCB4 Datasheet</v>
      </c>
      <c r="C371" t="s">
        <v>24</v>
      </c>
      <c r="D371" t="s">
        <v>28</v>
      </c>
      <c r="E371" t="s">
        <v>26</v>
      </c>
      <c r="F371" t="s">
        <v>27</v>
      </c>
      <c r="G371" t="s">
        <v>25</v>
      </c>
      <c r="H371">
        <v>20</v>
      </c>
      <c r="I371">
        <v>8</v>
      </c>
      <c r="J371">
        <v>4</v>
      </c>
      <c r="L371">
        <v>1.25</v>
      </c>
      <c r="O371">
        <v>56</v>
      </c>
      <c r="P371">
        <v>68</v>
      </c>
      <c r="Q371">
        <v>90</v>
      </c>
      <c r="R371">
        <v>0.4</v>
      </c>
      <c r="S371">
        <v>1</v>
      </c>
      <c r="T371">
        <v>7.4</v>
      </c>
      <c r="V371">
        <v>540</v>
      </c>
      <c r="W371">
        <v>10</v>
      </c>
      <c r="X371" t="s">
        <v>640</v>
      </c>
    </row>
    <row r="372" spans="1:24">
      <c r="A372" t="str">
        <f>Hyperlink("https://www.diodes.com/part/view/DMN2100UDM","DMN2100UDM")</f>
        <v>DMN2100UDM</v>
      </c>
      <c r="B372" t="str">
        <f>Hyperlink("https://www.diodes.com/assets/Datasheets/ds31186.pdf","DMN2100UDM Datasheet")</f>
        <v>DMN2100UDM Datasheet</v>
      </c>
      <c r="C372" t="s">
        <v>24</v>
      </c>
      <c r="D372" t="s">
        <v>25</v>
      </c>
      <c r="E372" t="s">
        <v>26</v>
      </c>
      <c r="F372" t="s">
        <v>27</v>
      </c>
      <c r="G372" t="s">
        <v>25</v>
      </c>
      <c r="H372">
        <v>20</v>
      </c>
      <c r="I372">
        <v>8</v>
      </c>
      <c r="J372">
        <v>4</v>
      </c>
      <c r="L372">
        <v>1.5</v>
      </c>
      <c r="O372">
        <v>55</v>
      </c>
      <c r="P372">
        <v>70</v>
      </c>
      <c r="Q372">
        <v>90</v>
      </c>
      <c r="R372">
        <v>0.6</v>
      </c>
      <c r="S372">
        <v>1</v>
      </c>
      <c r="T372">
        <v>8.8</v>
      </c>
      <c r="V372">
        <v>555</v>
      </c>
      <c r="X372" t="s">
        <v>261</v>
      </c>
    </row>
    <row r="373" spans="1:24">
      <c r="A373" t="str">
        <f>Hyperlink("https://www.diodes.com/part/view/DMN2120UFCL","DMN2120UFCL")</f>
        <v>DMN2120UFCL</v>
      </c>
      <c r="B373" t="str">
        <f>Hyperlink("https://www.diodes.com/assets/Datasheets/DMN2120UFCL.pdf","DMN2120UFCL Datasheet")</f>
        <v>DMN2120UFCL Datasheet</v>
      </c>
      <c r="C373" t="s">
        <v>616</v>
      </c>
      <c r="D373" t="s">
        <v>28</v>
      </c>
      <c r="E373" t="s">
        <v>26</v>
      </c>
      <c r="F373" t="s">
        <v>27</v>
      </c>
      <c r="G373" t="s">
        <v>25</v>
      </c>
      <c r="H373">
        <v>20</v>
      </c>
      <c r="I373">
        <v>12</v>
      </c>
      <c r="J373">
        <v>1.8</v>
      </c>
      <c r="L373">
        <v>1.16</v>
      </c>
      <c r="O373">
        <v>100</v>
      </c>
      <c r="P373">
        <v>140</v>
      </c>
      <c r="Q373">
        <v>200</v>
      </c>
      <c r="R373">
        <v>0.3</v>
      </c>
      <c r="S373">
        <v>1</v>
      </c>
      <c r="T373">
        <v>1.4</v>
      </c>
      <c r="U373">
        <v>2.8</v>
      </c>
      <c r="V373">
        <v>130</v>
      </c>
      <c r="W373">
        <v>10</v>
      </c>
      <c r="X373" t="s">
        <v>641</v>
      </c>
    </row>
    <row r="374" spans="1:24">
      <c r="A374" t="str">
        <f>Hyperlink("https://www.diodes.com/part/view/DMN21D1UDA","DMN21D1UDA")</f>
        <v>DMN21D1UDA</v>
      </c>
      <c r="B374" t="str">
        <f>Hyperlink("https://www.diodes.com/assets/Datasheets/DMN21D1UDA.pdf","DMN21D1UDA Datasheet")</f>
        <v>DMN21D1UDA Datasheet</v>
      </c>
      <c r="C374" t="s">
        <v>642</v>
      </c>
      <c r="D374" t="s">
        <v>28</v>
      </c>
      <c r="E374" t="s">
        <v>26</v>
      </c>
      <c r="F374" t="s">
        <v>35</v>
      </c>
      <c r="G374" t="s">
        <v>25</v>
      </c>
      <c r="H374">
        <v>20</v>
      </c>
      <c r="I374">
        <v>8</v>
      </c>
      <c r="J374">
        <v>0.455</v>
      </c>
      <c r="L374">
        <v>0.31</v>
      </c>
      <c r="O374">
        <v>990</v>
      </c>
      <c r="P374">
        <v>1200</v>
      </c>
      <c r="Q374">
        <v>1800</v>
      </c>
      <c r="R374">
        <v>0.4</v>
      </c>
      <c r="S374">
        <v>1</v>
      </c>
      <c r="T374">
        <v>0.41</v>
      </c>
      <c r="V374">
        <v>31</v>
      </c>
      <c r="W374">
        <v>15</v>
      </c>
      <c r="X374" t="s">
        <v>225</v>
      </c>
    </row>
    <row r="375" spans="1:24">
      <c r="A375" t="str">
        <f>Hyperlink("https://www.diodes.com/part/view/DMN21D2UFB","DMN21D2UFB")</f>
        <v>DMN21D2UFB</v>
      </c>
      <c r="B375" t="str">
        <f>Hyperlink("https://www.diodes.com/assets/Datasheets/DMN21D2UFB.pdf","DMN21D2UFB Datasheet")</f>
        <v>DMN21D2UFB Datasheet</v>
      </c>
      <c r="C375" t="s">
        <v>642</v>
      </c>
      <c r="D375" t="s">
        <v>25</v>
      </c>
      <c r="E375" t="s">
        <v>26</v>
      </c>
      <c r="F375" t="s">
        <v>27</v>
      </c>
      <c r="G375" t="s">
        <v>25</v>
      </c>
      <c r="H375">
        <v>20</v>
      </c>
      <c r="I375">
        <v>12</v>
      </c>
      <c r="J375">
        <v>0.76</v>
      </c>
      <c r="L375">
        <v>0.9</v>
      </c>
      <c r="O375">
        <v>990</v>
      </c>
      <c r="P375">
        <v>1200</v>
      </c>
      <c r="Q375">
        <v>2400</v>
      </c>
      <c r="R375">
        <v>0.4</v>
      </c>
      <c r="S375">
        <v>1</v>
      </c>
      <c r="T375">
        <v>0.41</v>
      </c>
      <c r="U375">
        <v>0.93</v>
      </c>
      <c r="V375">
        <v>29</v>
      </c>
      <c r="X375" t="s">
        <v>592</v>
      </c>
    </row>
    <row r="376" spans="1:24">
      <c r="A376" t="str">
        <f>Hyperlink("https://www.diodes.com/part/view/DMN2250UFB","DMN2250UFB")</f>
        <v>DMN2250UFB</v>
      </c>
      <c r="B376" t="str">
        <f>Hyperlink("https://www.diodes.com/assets/Datasheets/DMN2250UFB.pdf","DMN2250UFB Datasheet")</f>
        <v>DMN2250UFB Datasheet</v>
      </c>
      <c r="C376" t="s">
        <v>496</v>
      </c>
      <c r="D376" t="s">
        <v>25</v>
      </c>
      <c r="E376" t="s">
        <v>26</v>
      </c>
      <c r="F376" t="s">
        <v>27</v>
      </c>
      <c r="G376" t="s">
        <v>25</v>
      </c>
      <c r="H376">
        <v>20</v>
      </c>
      <c r="I376">
        <v>8</v>
      </c>
      <c r="J376">
        <v>1.35</v>
      </c>
      <c r="L376">
        <v>0.5</v>
      </c>
      <c r="O376">
        <v>170</v>
      </c>
      <c r="P376">
        <v>230</v>
      </c>
      <c r="Q376">
        <v>250</v>
      </c>
      <c r="R376">
        <v>0.35</v>
      </c>
      <c r="S376">
        <v>1</v>
      </c>
      <c r="T376">
        <v>1.4</v>
      </c>
      <c r="U376">
        <v>3.1</v>
      </c>
      <c r="V376">
        <v>100</v>
      </c>
      <c r="X376" t="s">
        <v>592</v>
      </c>
    </row>
    <row r="377" spans="1:24">
      <c r="A377" t="str">
        <f>Hyperlink("https://www.diodes.com/part/view/DMN22M5UCA10","DMN22M5UCA10")</f>
        <v>DMN22M5UCA10</v>
      </c>
      <c r="B377" t="str">
        <f>Hyperlink("https://www.diodes.com/assets/Datasheets/DMN22M5UCA10.pdf","DMN22M5UCA10 Datasheet")</f>
        <v>DMN22M5UCA10 Datasheet</v>
      </c>
      <c r="C377" t="s">
        <v>24</v>
      </c>
      <c r="D377" t="s">
        <v>28</v>
      </c>
      <c r="E377" t="s">
        <v>26</v>
      </c>
      <c r="F377" t="s">
        <v>35</v>
      </c>
      <c r="G377" t="s">
        <v>25</v>
      </c>
      <c r="H377">
        <v>24</v>
      </c>
      <c r="I377">
        <v>12</v>
      </c>
      <c r="J377">
        <v>26.5</v>
      </c>
      <c r="L377">
        <v>3.14</v>
      </c>
      <c r="O377">
        <v>4</v>
      </c>
      <c r="P377">
        <v>7.4</v>
      </c>
      <c r="R377">
        <v>0.4</v>
      </c>
      <c r="S377">
        <v>1.3</v>
      </c>
      <c r="T377">
        <v>40.7</v>
      </c>
      <c r="V377">
        <v>3490</v>
      </c>
      <c r="W377">
        <v>12</v>
      </c>
      <c r="X377" t="s">
        <v>643</v>
      </c>
    </row>
    <row r="378" spans="1:24">
      <c r="A378" t="str">
        <f>Hyperlink("https://www.diodes.com/part/view/DMN22M5UFG","DMN22M5UFG")</f>
        <v>DMN22M5UFG</v>
      </c>
      <c r="B378" t="str">
        <f>Hyperlink("https://www.diodes.com/assets/Datasheets/DMN22M5UFG.pdf","DMN22M5UFG Datasheet")</f>
        <v>DMN22M5UFG Datasheet</v>
      </c>
      <c r="C378" t="s">
        <v>616</v>
      </c>
      <c r="D378" t="s">
        <v>28</v>
      </c>
      <c r="E378" t="s">
        <v>26</v>
      </c>
      <c r="F378" t="s">
        <v>27</v>
      </c>
      <c r="G378" t="s">
        <v>28</v>
      </c>
      <c r="H378">
        <v>20</v>
      </c>
      <c r="I378">
        <v>12</v>
      </c>
      <c r="K378">
        <v>27</v>
      </c>
      <c r="L378">
        <v>2.2</v>
      </c>
      <c r="O378">
        <v>2.0</v>
      </c>
      <c r="P378">
        <v>2.6</v>
      </c>
      <c r="R378">
        <v>0.5</v>
      </c>
      <c r="S378">
        <v>1.3</v>
      </c>
      <c r="T378">
        <v>53</v>
      </c>
      <c r="U378">
        <v>99</v>
      </c>
      <c r="V378">
        <v>3926</v>
      </c>
      <c r="W378">
        <v>10</v>
      </c>
      <c r="X378" t="s">
        <v>529</v>
      </c>
    </row>
    <row r="379" spans="1:24">
      <c r="A379" t="str">
        <f>Hyperlink("https://www.diodes.com/part/view/DMN2300U","DMN2300U")</f>
        <v>DMN2300U</v>
      </c>
      <c r="B379" t="str">
        <f>Hyperlink("https://www.diodes.com/assets/Datasheets/DMN2300U.pdf","DMN2300U Datasheet")</f>
        <v>DMN2300U Datasheet</v>
      </c>
      <c r="C379" t="s">
        <v>496</v>
      </c>
      <c r="D379" t="s">
        <v>25</v>
      </c>
      <c r="E379" t="s">
        <v>26</v>
      </c>
      <c r="F379" t="s">
        <v>27</v>
      </c>
      <c r="G379" t="s">
        <v>25</v>
      </c>
      <c r="H379">
        <v>20</v>
      </c>
      <c r="I379">
        <v>8</v>
      </c>
      <c r="J379">
        <v>1.4</v>
      </c>
      <c r="L379">
        <v>0.55</v>
      </c>
      <c r="O379">
        <v>175</v>
      </c>
      <c r="P379">
        <v>240</v>
      </c>
      <c r="Q379">
        <v>360</v>
      </c>
      <c r="R379">
        <v>0.45</v>
      </c>
      <c r="S379">
        <v>0.95</v>
      </c>
      <c r="T379">
        <v>1.6</v>
      </c>
      <c r="V379">
        <v>70</v>
      </c>
      <c r="X379" t="s">
        <v>32</v>
      </c>
    </row>
    <row r="380" spans="1:24">
      <c r="A380" t="str">
        <f>Hyperlink("https://www.diodes.com/part/view/DMN2300UFB","DMN2300UFB")</f>
        <v>DMN2300UFB</v>
      </c>
      <c r="B380" t="str">
        <f>Hyperlink("https://www.diodes.com/assets/Datasheets/DMN2300UFB.pdf","DMN2300UFB Datasheet")</f>
        <v>DMN2300UFB Datasheet</v>
      </c>
      <c r="C380" t="s">
        <v>496</v>
      </c>
      <c r="D380" t="s">
        <v>25</v>
      </c>
      <c r="E380" t="s">
        <v>26</v>
      </c>
      <c r="F380" t="s">
        <v>27</v>
      </c>
      <c r="G380" t="s">
        <v>25</v>
      </c>
      <c r="H380">
        <v>20</v>
      </c>
      <c r="I380">
        <v>8</v>
      </c>
      <c r="J380">
        <v>1.32</v>
      </c>
      <c r="L380">
        <v>0.47</v>
      </c>
      <c r="O380">
        <v>175</v>
      </c>
      <c r="P380">
        <v>240</v>
      </c>
      <c r="Q380">
        <v>360</v>
      </c>
      <c r="R380">
        <v>0.45</v>
      </c>
      <c r="S380">
        <v>0.95</v>
      </c>
      <c r="T380">
        <v>0.89</v>
      </c>
      <c r="V380">
        <v>70</v>
      </c>
      <c r="X380" t="s">
        <v>592</v>
      </c>
    </row>
    <row r="381" spans="1:24">
      <c r="A381" t="str">
        <f>Hyperlink("https://www.diodes.com/part/view/DMN2300UFB4","DMN2300UFB4")</f>
        <v>DMN2300UFB4</v>
      </c>
      <c r="B381" t="str">
        <f>Hyperlink("https://www.diodes.com/assets/Datasheets/DMN2300UFB4.pdf","DMN2300UFB4 Datasheet")</f>
        <v>DMN2300UFB4 Datasheet</v>
      </c>
      <c r="C381" t="s">
        <v>496</v>
      </c>
      <c r="D381" t="s">
        <v>25</v>
      </c>
      <c r="E381" t="s">
        <v>26</v>
      </c>
      <c r="F381" t="s">
        <v>27</v>
      </c>
      <c r="G381" t="s">
        <v>25</v>
      </c>
      <c r="H381">
        <v>20</v>
      </c>
      <c r="I381">
        <v>8</v>
      </c>
      <c r="J381">
        <v>1.3</v>
      </c>
      <c r="L381">
        <v>0.5</v>
      </c>
      <c r="O381">
        <v>175</v>
      </c>
      <c r="P381">
        <v>240</v>
      </c>
      <c r="Q381">
        <v>360</v>
      </c>
      <c r="R381">
        <v>0.45</v>
      </c>
      <c r="S381">
        <v>0.95</v>
      </c>
      <c r="T381">
        <v>1.6</v>
      </c>
      <c r="V381">
        <v>70</v>
      </c>
      <c r="X381" t="s">
        <v>615</v>
      </c>
    </row>
    <row r="382" spans="1:24">
      <c r="A382" t="str">
        <f>Hyperlink("https://www.diodes.com/part/view/DMN2300UFD","DMN2300UFD")</f>
        <v>DMN2300UFD</v>
      </c>
      <c r="B382" t="str">
        <f>Hyperlink("https://www.diodes.com/assets/Datasheets/DMN2300UFD.pdf","DMN2300UFD Datasheet")</f>
        <v>DMN2300UFD Datasheet</v>
      </c>
      <c r="C382" t="s">
        <v>496</v>
      </c>
      <c r="D382" t="s">
        <v>25</v>
      </c>
      <c r="E382" t="s">
        <v>26</v>
      </c>
      <c r="F382" t="s">
        <v>27</v>
      </c>
      <c r="G382" t="s">
        <v>25</v>
      </c>
      <c r="H382">
        <v>20</v>
      </c>
      <c r="I382">
        <v>8</v>
      </c>
      <c r="J382">
        <v>1.7</v>
      </c>
      <c r="L382">
        <v>0.96</v>
      </c>
      <c r="O382">
        <v>200</v>
      </c>
      <c r="P382">
        <v>260</v>
      </c>
      <c r="Q382">
        <v>400</v>
      </c>
      <c r="R382">
        <v>0.45</v>
      </c>
      <c r="S382">
        <v>0.95</v>
      </c>
      <c r="T382">
        <v>0.89</v>
      </c>
      <c r="V382">
        <v>70</v>
      </c>
      <c r="X382" t="s">
        <v>644</v>
      </c>
    </row>
    <row r="383" spans="1:24">
      <c r="A383" t="str">
        <f>Hyperlink("https://www.diodes.com/part/view/DMN2300UFL4","DMN2300UFL4")</f>
        <v>DMN2300UFL4</v>
      </c>
      <c r="B383" t="str">
        <f>Hyperlink("https://www.diodes.com/assets/Datasheets/DMN2300UFL4.pdf","DMN2300UFL4 Datasheet")</f>
        <v>DMN2300UFL4 Datasheet</v>
      </c>
      <c r="C383" t="s">
        <v>496</v>
      </c>
      <c r="D383" t="s">
        <v>25</v>
      </c>
      <c r="E383" t="s">
        <v>26</v>
      </c>
      <c r="F383" t="s">
        <v>35</v>
      </c>
      <c r="G383" t="s">
        <v>25</v>
      </c>
      <c r="H383">
        <v>20</v>
      </c>
      <c r="I383">
        <v>8</v>
      </c>
      <c r="J383">
        <v>2.11</v>
      </c>
      <c r="L383">
        <v>1.39</v>
      </c>
      <c r="O383">
        <v>195</v>
      </c>
      <c r="P383">
        <v>260</v>
      </c>
      <c r="Q383">
        <v>380</v>
      </c>
      <c r="R383">
        <v>0.45</v>
      </c>
      <c r="S383">
        <v>0.95</v>
      </c>
      <c r="T383">
        <v>1.6</v>
      </c>
      <c r="V383">
        <v>70</v>
      </c>
      <c r="X383" t="s">
        <v>614</v>
      </c>
    </row>
    <row r="384" spans="1:24">
      <c r="A384" t="str">
        <f>Hyperlink("https://www.diodes.com/part/view/DMN2300UFL4Q","DMN2300UFL4Q")</f>
        <v>DMN2300UFL4Q</v>
      </c>
      <c r="B384" t="str">
        <f>Hyperlink("https://www.diodes.com/assets/Datasheets/DMN2300UFL4Q.pdf","DMN2300UFL4Q Datasheet")</f>
        <v>DMN2300UFL4Q Datasheet</v>
      </c>
      <c r="C384" t="s">
        <v>645</v>
      </c>
      <c r="D384" t="s">
        <v>25</v>
      </c>
      <c r="E384" t="s">
        <v>33</v>
      </c>
      <c r="F384" t="s">
        <v>35</v>
      </c>
      <c r="G384" t="s">
        <v>25</v>
      </c>
      <c r="H384">
        <v>20</v>
      </c>
      <c r="I384">
        <v>8</v>
      </c>
      <c r="J384">
        <v>2.11</v>
      </c>
      <c r="L384">
        <v>1.39</v>
      </c>
      <c r="O384">
        <v>195</v>
      </c>
      <c r="P384">
        <v>260</v>
      </c>
      <c r="Q384">
        <v>380</v>
      </c>
      <c r="S384">
        <v>0.95</v>
      </c>
      <c r="T384">
        <v>1.6</v>
      </c>
      <c r="V384">
        <v>67.6</v>
      </c>
      <c r="W384">
        <v>20</v>
      </c>
      <c r="X384" t="s">
        <v>614</v>
      </c>
    </row>
    <row r="385" spans="1:24">
      <c r="A385" t="str">
        <f>Hyperlink("https://www.diodes.com/part/view/DMN2310U","DMN2310U")</f>
        <v>DMN2310U</v>
      </c>
      <c r="B385" t="str">
        <f>Hyperlink("https://www.diodes.com/assets/Datasheets/DMN2310U.pdf","DMN2310U Datasheet")</f>
        <v>DMN2310U Datasheet</v>
      </c>
      <c r="C385" t="s">
        <v>24</v>
      </c>
      <c r="D385" t="s">
        <v>28</v>
      </c>
      <c r="E385" t="s">
        <v>26</v>
      </c>
      <c r="F385" t="s">
        <v>27</v>
      </c>
      <c r="G385" t="s">
        <v>25</v>
      </c>
      <c r="H385">
        <v>20</v>
      </c>
      <c r="I385">
        <v>8</v>
      </c>
      <c r="J385">
        <v>1.6</v>
      </c>
      <c r="L385">
        <v>0.68</v>
      </c>
      <c r="O385">
        <v>175</v>
      </c>
      <c r="P385">
        <v>240</v>
      </c>
      <c r="Q385">
        <v>360</v>
      </c>
      <c r="R385">
        <v>0.45</v>
      </c>
      <c r="S385">
        <v>0.95</v>
      </c>
      <c r="T385">
        <v>0.7</v>
      </c>
      <c r="V385">
        <v>38</v>
      </c>
      <c r="W385">
        <v>10</v>
      </c>
      <c r="X385" t="s">
        <v>32</v>
      </c>
    </row>
    <row r="386" spans="1:24">
      <c r="A386" t="str">
        <f>Hyperlink("https://www.diodes.com/part/view/DMN2310UFB4","DMN2310UFB4")</f>
        <v>DMN2310UFB4</v>
      </c>
      <c r="B386" t="str">
        <f>Hyperlink("https://www.diodes.com/assets/Datasheets/DMN2310UFB4.pdf","DMN2310UFB4 Datasheet")</f>
        <v>DMN2310UFB4 Datasheet</v>
      </c>
      <c r="C386" t="s">
        <v>24</v>
      </c>
      <c r="D386" t="s">
        <v>28</v>
      </c>
      <c r="E386" t="s">
        <v>26</v>
      </c>
      <c r="F386" t="s">
        <v>27</v>
      </c>
      <c r="G386" t="s">
        <v>25</v>
      </c>
      <c r="H386">
        <v>20</v>
      </c>
      <c r="I386">
        <v>8</v>
      </c>
      <c r="J386">
        <v>2.1</v>
      </c>
      <c r="L386">
        <v>1.14</v>
      </c>
      <c r="O386">
        <v>150</v>
      </c>
      <c r="P386">
        <v>190</v>
      </c>
      <c r="Q386">
        <v>250</v>
      </c>
      <c r="R386">
        <v>0.45</v>
      </c>
      <c r="S386">
        <v>0.95</v>
      </c>
      <c r="T386">
        <v>0.7</v>
      </c>
      <c r="V386">
        <v>38</v>
      </c>
      <c r="W386">
        <v>10</v>
      </c>
      <c r="X386" t="s">
        <v>615</v>
      </c>
    </row>
    <row r="387" spans="1:24">
      <c r="A387" t="str">
        <f>Hyperlink("https://www.diodes.com/part/view/DMN2310UFD","DMN2310UFD")</f>
        <v>DMN2310UFD</v>
      </c>
      <c r="B387" t="str">
        <f>Hyperlink("https://www.diodes.com/assets/Datasheets/DMN2310UFD.pdf","DMN2310UFD Datasheet")</f>
        <v>DMN2310UFD Datasheet</v>
      </c>
      <c r="C387" t="s">
        <v>24</v>
      </c>
      <c r="D387" t="s">
        <v>28</v>
      </c>
      <c r="E387" t="s">
        <v>26</v>
      </c>
      <c r="F387" t="s">
        <v>27</v>
      </c>
      <c r="G387" t="s">
        <v>25</v>
      </c>
      <c r="H387">
        <v>20</v>
      </c>
      <c r="I387">
        <v>8</v>
      </c>
      <c r="J387">
        <v>1.9</v>
      </c>
      <c r="L387">
        <v>1.1</v>
      </c>
      <c r="O387">
        <v>240</v>
      </c>
      <c r="P387">
        <v>300</v>
      </c>
      <c r="Q387">
        <v>400</v>
      </c>
      <c r="S387">
        <v>0.95</v>
      </c>
      <c r="T387">
        <v>0.7</v>
      </c>
      <c r="X387" t="s">
        <v>646</v>
      </c>
    </row>
    <row r="388" spans="1:24">
      <c r="A388" t="str">
        <f>Hyperlink("https://www.diodes.com/part/view/DMN2310UT","DMN2310UT")</f>
        <v>DMN2310UT</v>
      </c>
      <c r="B388" t="str">
        <f>Hyperlink("https://www.diodes.com/assets/Datasheets/DMN2310UT.pdf","DMN2310UT Datasheet")</f>
        <v>DMN2310UT Datasheet</v>
      </c>
      <c r="C388" t="s">
        <v>24</v>
      </c>
      <c r="D388" t="s">
        <v>28</v>
      </c>
      <c r="E388" t="s">
        <v>26</v>
      </c>
      <c r="F388" t="s">
        <v>27</v>
      </c>
      <c r="G388" t="s">
        <v>25</v>
      </c>
      <c r="H388">
        <v>20</v>
      </c>
      <c r="I388">
        <v>8</v>
      </c>
      <c r="J388">
        <v>1.2</v>
      </c>
      <c r="L388">
        <v>0.49</v>
      </c>
      <c r="O388">
        <v>240</v>
      </c>
      <c r="P388">
        <v>300</v>
      </c>
      <c r="Q388">
        <v>400</v>
      </c>
      <c r="R388">
        <v>0.45</v>
      </c>
      <c r="S388">
        <v>0.95</v>
      </c>
      <c r="T388">
        <v>0.7</v>
      </c>
      <c r="V388">
        <v>38</v>
      </c>
      <c r="W388">
        <v>10</v>
      </c>
      <c r="X388" t="s">
        <v>41</v>
      </c>
    </row>
    <row r="389" spans="1:24">
      <c r="A389" t="str">
        <f>Hyperlink("https://www.diodes.com/part/view/DMN2310UTQ","DMN2310UTQ")</f>
        <v>DMN2310UTQ</v>
      </c>
      <c r="B389" t="str">
        <f>Hyperlink("https://www.diodes.com/assets/Datasheets/DMN2310UTQ.pdf","DMN2310UTQ Datasheet")</f>
        <v>DMN2310UTQ Datasheet</v>
      </c>
      <c r="C389" t="s">
        <v>24</v>
      </c>
      <c r="D389" t="s">
        <v>25</v>
      </c>
      <c r="E389" t="s">
        <v>33</v>
      </c>
      <c r="F389" t="s">
        <v>27</v>
      </c>
      <c r="G389" t="s">
        <v>25</v>
      </c>
      <c r="H389">
        <v>20</v>
      </c>
      <c r="I389">
        <v>8</v>
      </c>
      <c r="J389">
        <v>1.2</v>
      </c>
      <c r="L389">
        <v>0.49</v>
      </c>
      <c r="O389">
        <v>240</v>
      </c>
      <c r="P389">
        <v>300</v>
      </c>
      <c r="Q389">
        <v>400</v>
      </c>
      <c r="R389">
        <v>0.45</v>
      </c>
      <c r="S389">
        <v>0.95</v>
      </c>
      <c r="T389">
        <v>0.7</v>
      </c>
      <c r="V389">
        <v>38</v>
      </c>
      <c r="W389">
        <v>10</v>
      </c>
      <c r="X389" t="s">
        <v>41</v>
      </c>
    </row>
    <row r="390" spans="1:24">
      <c r="A390" t="str">
        <f>Hyperlink("https://www.diodes.com/part/view/DMN2310UW","DMN2310UW")</f>
        <v>DMN2310UW</v>
      </c>
      <c r="B390" t="str">
        <f>Hyperlink("https://www.diodes.com/assets/Datasheets/DMN2310UW.pdf","DMN2310UW Datasheet")</f>
        <v>DMN2310UW Datasheet</v>
      </c>
      <c r="C390" t="s">
        <v>24</v>
      </c>
      <c r="D390" t="s">
        <v>28</v>
      </c>
      <c r="E390" t="s">
        <v>26</v>
      </c>
      <c r="F390" t="s">
        <v>27</v>
      </c>
      <c r="G390" t="s">
        <v>25</v>
      </c>
      <c r="H390">
        <v>20</v>
      </c>
      <c r="I390">
        <v>8</v>
      </c>
      <c r="J390">
        <v>1.3</v>
      </c>
      <c r="L390">
        <v>0.55</v>
      </c>
      <c r="O390">
        <v>200</v>
      </c>
      <c r="P390">
        <v>280</v>
      </c>
      <c r="Q390">
        <v>380</v>
      </c>
      <c r="R390">
        <v>0.45</v>
      </c>
      <c r="S390">
        <v>0.95</v>
      </c>
      <c r="T390">
        <v>0.7</v>
      </c>
      <c r="V390">
        <v>38</v>
      </c>
      <c r="W390">
        <v>10</v>
      </c>
      <c r="X390" t="s">
        <v>60</v>
      </c>
    </row>
    <row r="391" spans="1:24">
      <c r="A391" t="str">
        <f>Hyperlink("https://www.diodes.com/part/view/DMN2310UWQ","DMN2310UWQ")</f>
        <v>DMN2310UWQ</v>
      </c>
      <c r="B391" t="str">
        <f>Hyperlink("https://www.diodes.com/assets/Datasheets/DMN2310UWQ.pdf","DMN2310UWQ Datasheet")</f>
        <v>DMN2310UWQ Datasheet</v>
      </c>
      <c r="C391" t="s">
        <v>24</v>
      </c>
      <c r="D391" t="s">
        <v>25</v>
      </c>
      <c r="E391" t="s">
        <v>33</v>
      </c>
      <c r="F391" t="s">
        <v>27</v>
      </c>
      <c r="G391" t="s">
        <v>25</v>
      </c>
      <c r="H391">
        <v>20</v>
      </c>
      <c r="I391">
        <v>8</v>
      </c>
      <c r="J391">
        <v>1.3</v>
      </c>
      <c r="L391">
        <v>0.55</v>
      </c>
      <c r="O391">
        <v>200</v>
      </c>
      <c r="P391">
        <v>280</v>
      </c>
      <c r="Q391">
        <v>380</v>
      </c>
      <c r="R391">
        <v>0.45</v>
      </c>
      <c r="S391">
        <v>0.95</v>
      </c>
      <c r="T391">
        <v>0.7</v>
      </c>
      <c r="V391">
        <v>38</v>
      </c>
      <c r="W391">
        <v>10</v>
      </c>
      <c r="X391" t="s">
        <v>60</v>
      </c>
    </row>
    <row r="392" spans="1:24">
      <c r="A392" t="str">
        <f>Hyperlink("https://www.diodes.com/part/view/DMN2320UFB4","DMN2320UFB4")</f>
        <v>DMN2320UFB4</v>
      </c>
      <c r="B392" t="str">
        <f>Hyperlink("https://www.diodes.com/assets/Datasheets/DMN2320UFB4.pdf","DMN2320UFB4 Datasheet")</f>
        <v>DMN2320UFB4 Datasheet</v>
      </c>
      <c r="C392" t="s">
        <v>496</v>
      </c>
      <c r="D392" t="s">
        <v>28</v>
      </c>
      <c r="E392" t="s">
        <v>26</v>
      </c>
      <c r="F392" t="s">
        <v>27</v>
      </c>
      <c r="G392" t="s">
        <v>25</v>
      </c>
      <c r="H392">
        <v>20</v>
      </c>
      <c r="I392">
        <v>8</v>
      </c>
      <c r="J392">
        <v>1</v>
      </c>
      <c r="L392">
        <v>1.07</v>
      </c>
      <c r="O392">
        <v>320</v>
      </c>
      <c r="P392">
        <v>500</v>
      </c>
      <c r="Q392">
        <v>1000</v>
      </c>
      <c r="S392">
        <v>0.95</v>
      </c>
      <c r="T392">
        <v>0.89</v>
      </c>
      <c r="V392">
        <v>71</v>
      </c>
      <c r="X392" t="s">
        <v>615</v>
      </c>
    </row>
    <row r="393" spans="1:24">
      <c r="A393" t="str">
        <f>Hyperlink("https://www.diodes.com/part/view/DMN2400UFB","DMN2400UFB")</f>
        <v>DMN2400UFB</v>
      </c>
      <c r="B393" t="str">
        <f>Hyperlink("https://www.diodes.com/assets/Datasheets/ds31963.pdf","DMN2400UFB Datasheet")</f>
        <v>DMN2400UFB Datasheet</v>
      </c>
      <c r="C393" t="s">
        <v>496</v>
      </c>
      <c r="D393" t="s">
        <v>25</v>
      </c>
      <c r="E393" t="s">
        <v>26</v>
      </c>
      <c r="F393" t="s">
        <v>27</v>
      </c>
      <c r="G393" t="s">
        <v>25</v>
      </c>
      <c r="H393">
        <v>20</v>
      </c>
      <c r="I393">
        <v>12</v>
      </c>
      <c r="J393">
        <v>0.75</v>
      </c>
      <c r="L393">
        <v>0.47</v>
      </c>
      <c r="O393">
        <v>550</v>
      </c>
      <c r="P393">
        <v>750</v>
      </c>
      <c r="Q393">
        <v>900</v>
      </c>
      <c r="R393">
        <v>0.5</v>
      </c>
      <c r="S393">
        <v>0.9</v>
      </c>
      <c r="T393">
        <v>0.5</v>
      </c>
      <c r="V393">
        <v>38</v>
      </c>
      <c r="X393" t="s">
        <v>592</v>
      </c>
    </row>
    <row r="394" spans="1:24">
      <c r="A394" t="str">
        <f>Hyperlink("https://www.diodes.com/part/view/DMN2400UV","DMN2400UV")</f>
        <v>DMN2400UV</v>
      </c>
      <c r="B394" t="str">
        <f>Hyperlink("https://www.diodes.com/assets/Datasheets/ds31852.pdf","DMN2400UV Datasheet")</f>
        <v>DMN2400UV Datasheet</v>
      </c>
      <c r="C394" t="s">
        <v>496</v>
      </c>
      <c r="D394" t="s">
        <v>25</v>
      </c>
      <c r="E394" t="s">
        <v>26</v>
      </c>
      <c r="F394" t="s">
        <v>35</v>
      </c>
      <c r="G394" t="s">
        <v>25</v>
      </c>
      <c r="H394">
        <v>20</v>
      </c>
      <c r="I394">
        <v>12</v>
      </c>
      <c r="J394">
        <v>1.33</v>
      </c>
      <c r="L394">
        <v>0.53</v>
      </c>
      <c r="O394">
        <v>500</v>
      </c>
      <c r="P394">
        <v>700</v>
      </c>
      <c r="Q394">
        <v>900</v>
      </c>
      <c r="R394">
        <v>0.5</v>
      </c>
      <c r="S394">
        <v>0.9</v>
      </c>
      <c r="T394">
        <v>0.5</v>
      </c>
      <c r="V394">
        <v>38</v>
      </c>
      <c r="X394" t="s">
        <v>43</v>
      </c>
    </row>
    <row r="395" spans="1:24">
      <c r="A395" t="str">
        <f>Hyperlink("https://www.diodes.com/part/view/DMN2450UFB4","DMN2450UFB4")</f>
        <v>DMN2450UFB4</v>
      </c>
      <c r="B395" t="str">
        <f>Hyperlink("https://www.diodes.com/assets/Datasheets/DMN2450UFB4.pdf","DMN2450UFB4 Datasheet")</f>
        <v>DMN2450UFB4 Datasheet</v>
      </c>
      <c r="C395" t="s">
        <v>24</v>
      </c>
      <c r="D395" t="s">
        <v>28</v>
      </c>
      <c r="E395" t="s">
        <v>26</v>
      </c>
      <c r="F395" t="s">
        <v>27</v>
      </c>
      <c r="G395" t="s">
        <v>25</v>
      </c>
      <c r="H395">
        <v>20</v>
      </c>
      <c r="I395">
        <v>12</v>
      </c>
      <c r="J395">
        <v>1</v>
      </c>
      <c r="L395">
        <v>0.9</v>
      </c>
      <c r="O395">
        <v>400</v>
      </c>
      <c r="P395">
        <v>500</v>
      </c>
      <c r="Q395">
        <v>700</v>
      </c>
      <c r="R395">
        <v>0.5</v>
      </c>
      <c r="S395">
        <v>0.9</v>
      </c>
      <c r="T395">
        <v>0.6</v>
      </c>
      <c r="U395">
        <v>1.3</v>
      </c>
      <c r="V395">
        <v>56</v>
      </c>
      <c r="W395">
        <v>16</v>
      </c>
      <c r="X395" t="s">
        <v>615</v>
      </c>
    </row>
    <row r="396" spans="1:24">
      <c r="A396" t="str">
        <f>Hyperlink("https://www.diodes.com/part/view/DMN2450UFB4Q","DMN2450UFB4Q")</f>
        <v>DMN2450UFB4Q</v>
      </c>
      <c r="B396" t="str">
        <f>Hyperlink("https://www.diodes.com/assets/Datasheets/DMN2450UFB4Q.pdf","DMN2450UFB4Q Datasheet")</f>
        <v>DMN2450UFB4Q Datasheet</v>
      </c>
      <c r="C396" t="s">
        <v>24</v>
      </c>
      <c r="D396" t="s">
        <v>25</v>
      </c>
      <c r="E396" t="s">
        <v>33</v>
      </c>
      <c r="F396" t="s">
        <v>27</v>
      </c>
      <c r="G396" t="s">
        <v>25</v>
      </c>
      <c r="H396">
        <v>20</v>
      </c>
      <c r="I396">
        <v>12</v>
      </c>
      <c r="J396">
        <v>1</v>
      </c>
      <c r="L396">
        <v>0.9</v>
      </c>
      <c r="O396">
        <v>400</v>
      </c>
      <c r="P396">
        <v>500</v>
      </c>
      <c r="Q396">
        <v>700</v>
      </c>
      <c r="S396">
        <v>0.9</v>
      </c>
      <c r="T396">
        <v>0.6</v>
      </c>
      <c r="U396">
        <v>1.3</v>
      </c>
      <c r="X396" t="s">
        <v>615</v>
      </c>
    </row>
    <row r="397" spans="1:24">
      <c r="A397" t="str">
        <f>Hyperlink("https://www.diodes.com/part/view/DMN2450UFD","DMN2450UFD")</f>
        <v>DMN2450UFD</v>
      </c>
      <c r="B397" t="str">
        <f>Hyperlink("https://www.diodes.com/assets/Datasheets/DMN2450UFD.pdf","DMN2450UFD Datasheet")</f>
        <v>DMN2450UFD Datasheet</v>
      </c>
      <c r="C397" t="s">
        <v>24</v>
      </c>
      <c r="D397" t="s">
        <v>28</v>
      </c>
      <c r="E397" t="s">
        <v>26</v>
      </c>
      <c r="F397" t="s">
        <v>27</v>
      </c>
      <c r="G397" t="s">
        <v>25</v>
      </c>
      <c r="H397">
        <v>20</v>
      </c>
      <c r="I397">
        <v>12</v>
      </c>
      <c r="J397">
        <v>0.9</v>
      </c>
      <c r="L397">
        <v>0.89</v>
      </c>
      <c r="O397">
        <v>600</v>
      </c>
      <c r="P397">
        <v>800</v>
      </c>
      <c r="Q397">
        <v>1000</v>
      </c>
      <c r="R397">
        <v>0.45</v>
      </c>
      <c r="S397">
        <v>1</v>
      </c>
      <c r="T397">
        <v>0.7</v>
      </c>
      <c r="V397">
        <v>52</v>
      </c>
      <c r="W397">
        <v>16</v>
      </c>
      <c r="X397" t="s">
        <v>644</v>
      </c>
    </row>
    <row r="398" spans="1:24">
      <c r="A398" t="str">
        <f>Hyperlink("https://www.diodes.com/part/view/DMN2451UFB4","DMN2451UFB4")</f>
        <v>DMN2451UFB4</v>
      </c>
      <c r="B398" t="str">
        <f>Hyperlink("https://www.diodes.com/assets/Datasheets/DMN2451UFB4.pdf","DMN2451UFB4 Datasheet")</f>
        <v>DMN2451UFB4 Datasheet</v>
      </c>
      <c r="C398" t="s">
        <v>24</v>
      </c>
      <c r="D398" t="s">
        <v>28</v>
      </c>
      <c r="E398" t="s">
        <v>26</v>
      </c>
      <c r="F398" t="s">
        <v>27</v>
      </c>
      <c r="G398" t="s">
        <v>25</v>
      </c>
      <c r="H398">
        <v>20</v>
      </c>
      <c r="I398">
        <v>12</v>
      </c>
      <c r="J398">
        <v>1.3</v>
      </c>
      <c r="L398">
        <v>1.1</v>
      </c>
      <c r="O398">
        <v>400</v>
      </c>
      <c r="P398">
        <v>500</v>
      </c>
      <c r="Q398">
        <v>700</v>
      </c>
      <c r="S398">
        <v>1</v>
      </c>
      <c r="T398">
        <v>3.4</v>
      </c>
      <c r="U398">
        <v>6.4</v>
      </c>
      <c r="X398" t="s">
        <v>615</v>
      </c>
    </row>
    <row r="399" spans="1:24">
      <c r="A399" t="str">
        <f>Hyperlink("https://www.diodes.com/part/view/DMN2451UFB4Q","DMN2451UFB4Q")</f>
        <v>DMN2451UFB4Q</v>
      </c>
      <c r="B399" t="str">
        <f>Hyperlink("https://www.diodes.com/assets/Datasheets/DMN2451UFB4Q.pdf","DMN2451UFB4Q Datasheet")</f>
        <v>DMN2451UFB4Q Datasheet</v>
      </c>
      <c r="C399" t="s">
        <v>24</v>
      </c>
      <c r="D399" t="s">
        <v>25</v>
      </c>
      <c r="E399" t="s">
        <v>33</v>
      </c>
      <c r="F399" t="s">
        <v>27</v>
      </c>
      <c r="G399" t="s">
        <v>25</v>
      </c>
      <c r="H399">
        <v>20</v>
      </c>
      <c r="I399">
        <v>12</v>
      </c>
      <c r="J399">
        <v>1.3</v>
      </c>
      <c r="L399">
        <v>1.1</v>
      </c>
      <c r="O399">
        <v>400</v>
      </c>
      <c r="P399">
        <v>500</v>
      </c>
      <c r="Q399">
        <v>700</v>
      </c>
      <c r="S399">
        <v>1</v>
      </c>
      <c r="T399">
        <v>3.4</v>
      </c>
      <c r="U399">
        <v>6.4</v>
      </c>
      <c r="X399" t="s">
        <v>615</v>
      </c>
    </row>
    <row r="400" spans="1:24">
      <c r="A400" t="str">
        <f>Hyperlink("https://www.diodes.com/part/view/DMN2451UFDQ","DMN2451UFDQ")</f>
        <v>DMN2451UFDQ</v>
      </c>
      <c r="B400" t="str">
        <f>Hyperlink("https://www.diodes.com/assets/Datasheets/DMN2451UFDQ.pdf","DMN2451UFDQ Datasheet")</f>
        <v>DMN2451UFDQ Datasheet</v>
      </c>
      <c r="C400" t="s">
        <v>24</v>
      </c>
      <c r="D400" t="s">
        <v>25</v>
      </c>
      <c r="E400" t="s">
        <v>33</v>
      </c>
      <c r="F400" t="s">
        <v>27</v>
      </c>
      <c r="G400" t="s">
        <v>25</v>
      </c>
      <c r="H400">
        <v>20</v>
      </c>
      <c r="I400">
        <v>12</v>
      </c>
      <c r="J400">
        <v>1.1</v>
      </c>
      <c r="L400">
        <v>1.1</v>
      </c>
      <c r="O400">
        <v>600</v>
      </c>
      <c r="P400">
        <v>800</v>
      </c>
      <c r="Q400">
        <v>1000</v>
      </c>
      <c r="R400">
        <v>0.45</v>
      </c>
      <c r="S400">
        <v>1</v>
      </c>
      <c r="T400">
        <v>0.7</v>
      </c>
      <c r="V400">
        <v>52</v>
      </c>
      <c r="W400">
        <v>16</v>
      </c>
      <c r="X400" t="s">
        <v>646</v>
      </c>
    </row>
    <row r="401" spans="1:24">
      <c r="A401" t="str">
        <f>Hyperlink("https://www.diodes.com/part/view/DMN24H11DS","DMN24H11DS")</f>
        <v>DMN24H11DS</v>
      </c>
      <c r="B401" t="str">
        <f>Hyperlink("https://www.diodes.com/assets/Datasheets/DMN24H11DS.pdf","DMN24H11DS Datasheet")</f>
        <v>DMN24H11DS Datasheet</v>
      </c>
      <c r="C401" t="s">
        <v>24</v>
      </c>
      <c r="D401" t="s">
        <v>25</v>
      </c>
      <c r="E401" t="s">
        <v>26</v>
      </c>
      <c r="F401" t="s">
        <v>27</v>
      </c>
      <c r="G401" t="s">
        <v>28</v>
      </c>
      <c r="H401">
        <v>240</v>
      </c>
      <c r="I401">
        <v>20</v>
      </c>
      <c r="J401">
        <v>0.27</v>
      </c>
      <c r="L401">
        <v>1.2</v>
      </c>
      <c r="N401">
        <v>11000</v>
      </c>
      <c r="O401">
        <v>12000</v>
      </c>
      <c r="S401">
        <v>3</v>
      </c>
      <c r="U401">
        <v>3.7</v>
      </c>
      <c r="V401">
        <v>76.8</v>
      </c>
      <c r="X401" t="s">
        <v>32</v>
      </c>
    </row>
    <row r="402" spans="1:24">
      <c r="A402" t="str">
        <f>Hyperlink("https://www.diodes.com/part/view/DMN24H11DSQ","DMN24H11DSQ")</f>
        <v>DMN24H11DSQ</v>
      </c>
      <c r="B402" t="str">
        <f>Hyperlink("https://www.diodes.com/assets/Datasheets/DMN24H11DSQ.pdf","DMN24H11DSQ Datasheet")</f>
        <v>DMN24H11DSQ Datasheet</v>
      </c>
      <c r="C402" t="s">
        <v>24</v>
      </c>
      <c r="D402" t="s">
        <v>25</v>
      </c>
      <c r="E402" t="s">
        <v>33</v>
      </c>
      <c r="F402" t="s">
        <v>27</v>
      </c>
      <c r="G402" t="s">
        <v>28</v>
      </c>
      <c r="H402">
        <v>240</v>
      </c>
      <c r="I402">
        <v>20</v>
      </c>
      <c r="J402">
        <v>0.27</v>
      </c>
      <c r="L402">
        <v>1.2</v>
      </c>
      <c r="N402">
        <v>11000</v>
      </c>
      <c r="O402">
        <v>12000</v>
      </c>
      <c r="S402">
        <v>3</v>
      </c>
      <c r="U402">
        <v>3.7</v>
      </c>
      <c r="V402">
        <v>76.8</v>
      </c>
      <c r="W402">
        <v>25</v>
      </c>
      <c r="X402" t="s">
        <v>32</v>
      </c>
    </row>
    <row r="403" spans="1:24">
      <c r="A403" t="str">
        <f>Hyperlink("https://www.diodes.com/part/view/DMN24H3D5L","DMN24H3D5L")</f>
        <v>DMN24H3D5L</v>
      </c>
      <c r="B403" t="str">
        <f>Hyperlink("https://www.diodes.com/assets/Datasheets/DMN24H3D5L.pdf","DMN24H3D5L Datasheet")</f>
        <v>DMN24H3D5L Datasheet</v>
      </c>
      <c r="C403" t="s">
        <v>24</v>
      </c>
      <c r="D403" t="s">
        <v>28</v>
      </c>
      <c r="E403" t="s">
        <v>26</v>
      </c>
      <c r="F403" t="s">
        <v>27</v>
      </c>
      <c r="G403" t="s">
        <v>28</v>
      </c>
      <c r="H403">
        <v>240</v>
      </c>
      <c r="I403">
        <v>20</v>
      </c>
      <c r="J403">
        <v>0.48</v>
      </c>
      <c r="L403">
        <v>1.26</v>
      </c>
      <c r="N403">
        <v>3500</v>
      </c>
      <c r="O403">
        <v>3500</v>
      </c>
      <c r="P403" t="s">
        <v>647</v>
      </c>
      <c r="S403">
        <v>2.5</v>
      </c>
      <c r="U403">
        <v>6.6</v>
      </c>
      <c r="V403">
        <v>188</v>
      </c>
      <c r="W403">
        <v>25</v>
      </c>
      <c r="X403" t="s">
        <v>32</v>
      </c>
    </row>
    <row r="404" spans="1:24">
      <c r="A404" t="str">
        <f>Hyperlink("https://www.diodes.com/part/view/DMN2501UFB4","DMN2501UFB4")</f>
        <v>DMN2501UFB4</v>
      </c>
      <c r="B404" t="str">
        <f>Hyperlink("https://www.diodes.com/assets/Datasheets/DMN2501UFB4.pdf","DMN2501UFB4 Datasheet")</f>
        <v>DMN2501UFB4 Datasheet</v>
      </c>
      <c r="C404" t="s">
        <v>496</v>
      </c>
      <c r="D404" t="s">
        <v>25</v>
      </c>
      <c r="E404" t="s">
        <v>26</v>
      </c>
      <c r="F404" t="s">
        <v>27</v>
      </c>
      <c r="G404" t="s">
        <v>25</v>
      </c>
      <c r="H404">
        <v>20</v>
      </c>
      <c r="I404">
        <v>8</v>
      </c>
      <c r="J404">
        <v>1.5</v>
      </c>
      <c r="L404">
        <v>1.2</v>
      </c>
      <c r="O404">
        <v>400</v>
      </c>
      <c r="P404">
        <v>500</v>
      </c>
      <c r="Q404">
        <v>700</v>
      </c>
      <c r="R404">
        <v>0.5</v>
      </c>
      <c r="S404">
        <v>1</v>
      </c>
      <c r="T404">
        <v>1.1</v>
      </c>
      <c r="U404">
        <v>2</v>
      </c>
      <c r="V404">
        <v>88</v>
      </c>
      <c r="X404" t="s">
        <v>615</v>
      </c>
    </row>
    <row r="405" spans="1:24">
      <c r="A405" t="str">
        <f>Hyperlink("https://www.diodes.com/part/view/DMN2550UFA","DMN2550UFA")</f>
        <v>DMN2550UFA</v>
      </c>
      <c r="B405" t="str">
        <f>Hyperlink("https://www.diodes.com/assets/Datasheets/DMN2550UFA.pdf","DMN2550UFA Datasheet")</f>
        <v>DMN2550UFA Datasheet</v>
      </c>
      <c r="C405" t="s">
        <v>496</v>
      </c>
      <c r="D405" t="s">
        <v>28</v>
      </c>
      <c r="E405" t="s">
        <v>26</v>
      </c>
      <c r="F405" t="s">
        <v>27</v>
      </c>
      <c r="G405" t="s">
        <v>25</v>
      </c>
      <c r="H405">
        <v>20</v>
      </c>
      <c r="I405">
        <v>8</v>
      </c>
      <c r="J405">
        <v>0.6</v>
      </c>
      <c r="L405">
        <v>0.36</v>
      </c>
      <c r="O405">
        <v>450</v>
      </c>
      <c r="P405">
        <v>550</v>
      </c>
      <c r="Q405">
        <v>750</v>
      </c>
      <c r="R405">
        <v>0.4</v>
      </c>
      <c r="S405">
        <v>1</v>
      </c>
      <c r="T405">
        <v>0.88</v>
      </c>
      <c r="V405">
        <v>54</v>
      </c>
      <c r="X405" t="s">
        <v>595</v>
      </c>
    </row>
    <row r="406" spans="1:24">
      <c r="A406" t="str">
        <f>Hyperlink("https://www.diodes.com/part/view/DMN25D0UFA","DMN25D0UFA")</f>
        <v>DMN25D0UFA</v>
      </c>
      <c r="B406" t="str">
        <f>Hyperlink("https://www.diodes.com/assets/Datasheets/DMN25D0UFA.pdf","DMN25D0UFA Datasheet")</f>
        <v>DMN25D0UFA Datasheet</v>
      </c>
      <c r="C406" t="s">
        <v>496</v>
      </c>
      <c r="D406" t="s">
        <v>25</v>
      </c>
      <c r="E406" t="s">
        <v>26</v>
      </c>
      <c r="F406" t="s">
        <v>27</v>
      </c>
      <c r="G406" t="s">
        <v>25</v>
      </c>
      <c r="H406">
        <v>25</v>
      </c>
      <c r="I406">
        <v>8</v>
      </c>
      <c r="J406">
        <v>0.32</v>
      </c>
      <c r="L406">
        <v>0.63</v>
      </c>
      <c r="O406">
        <v>4000</v>
      </c>
      <c r="P406">
        <v>5000</v>
      </c>
      <c r="R406">
        <v>0.6</v>
      </c>
      <c r="S406">
        <v>1.2</v>
      </c>
      <c r="T406">
        <v>0.36</v>
      </c>
      <c r="V406">
        <v>27.9</v>
      </c>
      <c r="X406" t="s">
        <v>595</v>
      </c>
    </row>
    <row r="407" spans="1:24">
      <c r="A407" t="str">
        <f>Hyperlink("https://www.diodes.com/part/view/DMN2600UFB","DMN2600UFB")</f>
        <v>DMN2600UFB</v>
      </c>
      <c r="B407" t="str">
        <f>Hyperlink("https://www.diodes.com/assets/Datasheets/ds31983.pdf","DMN2600UFB Datasheet")</f>
        <v>DMN2600UFB Datasheet</v>
      </c>
      <c r="C407" t="s">
        <v>496</v>
      </c>
      <c r="D407" t="s">
        <v>25</v>
      </c>
      <c r="E407" t="s">
        <v>26</v>
      </c>
      <c r="F407" t="s">
        <v>27</v>
      </c>
      <c r="G407" t="s">
        <v>25</v>
      </c>
      <c r="H407">
        <v>25</v>
      </c>
      <c r="I407">
        <v>8</v>
      </c>
      <c r="J407">
        <v>1.3</v>
      </c>
      <c r="L407">
        <v>0.54</v>
      </c>
      <c r="O407">
        <v>350</v>
      </c>
      <c r="P407">
        <v>450</v>
      </c>
      <c r="Q407">
        <v>600</v>
      </c>
      <c r="R407">
        <v>0.45</v>
      </c>
      <c r="S407">
        <v>1</v>
      </c>
      <c r="T407">
        <v>0.85</v>
      </c>
      <c r="V407">
        <v>75</v>
      </c>
      <c r="X407" t="s">
        <v>592</v>
      </c>
    </row>
    <row r="408" spans="1:24">
      <c r="A408" t="str">
        <f>Hyperlink("https://www.diodes.com/part/view/DMN26D0UT","DMN26D0UT")</f>
        <v>DMN26D0UT</v>
      </c>
      <c r="B408" t="str">
        <f>Hyperlink("https://www.diodes.com/assets/Datasheets/ds31854.pdf","DMN26D0UT Datasheet")</f>
        <v>DMN26D0UT Datasheet</v>
      </c>
      <c r="C408" t="s">
        <v>496</v>
      </c>
      <c r="D408" t="s">
        <v>25</v>
      </c>
      <c r="E408" t="s">
        <v>26</v>
      </c>
      <c r="F408" t="s">
        <v>27</v>
      </c>
      <c r="G408" t="s">
        <v>25</v>
      </c>
      <c r="H408">
        <v>20</v>
      </c>
      <c r="I408">
        <v>10</v>
      </c>
      <c r="J408">
        <v>0.23</v>
      </c>
      <c r="L408">
        <v>0.3</v>
      </c>
      <c r="O408">
        <v>3000</v>
      </c>
      <c r="P408">
        <v>4000</v>
      </c>
      <c r="Q408">
        <v>6000</v>
      </c>
      <c r="R408">
        <v>0.5</v>
      </c>
      <c r="S408">
        <v>1</v>
      </c>
      <c r="V408">
        <v>14.5</v>
      </c>
      <c r="X408" t="s">
        <v>41</v>
      </c>
    </row>
    <row r="409" spans="1:24">
      <c r="A409" t="str">
        <f>Hyperlink("https://www.diodes.com/part/view/DMN2710UDW","DMN2710UDW")</f>
        <v>DMN2710UDW</v>
      </c>
      <c r="B409" t="str">
        <f>Hyperlink("https://www.diodes.com/assets/Datasheets/DMN2710UDW.pdf","DMN2710UDW Datasheet")</f>
        <v>DMN2710UDW Datasheet</v>
      </c>
      <c r="C409" t="s">
        <v>648</v>
      </c>
      <c r="D409" t="s">
        <v>28</v>
      </c>
      <c r="E409" t="s">
        <v>26</v>
      </c>
      <c r="F409" t="s">
        <v>35</v>
      </c>
      <c r="G409" t="s">
        <v>25</v>
      </c>
      <c r="H409">
        <v>20</v>
      </c>
      <c r="I409">
        <v>6</v>
      </c>
      <c r="J409">
        <v>0.8</v>
      </c>
      <c r="L409">
        <v>0.49</v>
      </c>
      <c r="O409">
        <v>450</v>
      </c>
      <c r="P409">
        <v>600</v>
      </c>
      <c r="Q409">
        <v>750</v>
      </c>
      <c r="S409">
        <v>1</v>
      </c>
      <c r="T409">
        <v>0.6</v>
      </c>
      <c r="X409" t="s">
        <v>37</v>
      </c>
    </row>
    <row r="410" spans="1:24">
      <c r="A410" t="str">
        <f>Hyperlink("https://www.diodes.com/part/view/DMN2710UDWQ","DMN2710UDWQ")</f>
        <v>DMN2710UDWQ</v>
      </c>
      <c r="B410" t="str">
        <f>Hyperlink("https://www.diodes.com/assets/Datasheets/DMN2710UDWQ.pdf","DMN2710UDWQ Datasheet")</f>
        <v>DMN2710UDWQ Datasheet</v>
      </c>
      <c r="C410" t="s">
        <v>648</v>
      </c>
      <c r="D410" t="s">
        <v>25</v>
      </c>
      <c r="E410" t="s">
        <v>33</v>
      </c>
      <c r="F410" t="s">
        <v>35</v>
      </c>
      <c r="G410" t="s">
        <v>25</v>
      </c>
      <c r="H410">
        <v>20</v>
      </c>
      <c r="I410">
        <v>6</v>
      </c>
      <c r="J410">
        <v>0.8</v>
      </c>
      <c r="L410">
        <v>0.49</v>
      </c>
      <c r="O410">
        <v>450</v>
      </c>
      <c r="P410">
        <v>600</v>
      </c>
      <c r="Q410">
        <v>750</v>
      </c>
      <c r="S410">
        <v>1</v>
      </c>
      <c r="T410">
        <v>0.6</v>
      </c>
      <c r="X410" t="s">
        <v>37</v>
      </c>
    </row>
    <row r="411" spans="1:24">
      <c r="A411" t="str">
        <f>Hyperlink("https://www.diodes.com/part/view/DMN2710UFB","DMN2710UFB")</f>
        <v>DMN2710UFB</v>
      </c>
      <c r="B411" t="str">
        <f>Hyperlink("https://www.diodes.com/assets/Datasheets/DMN2710UFB.pdf","DMN2710UFB Datasheet")</f>
        <v>DMN2710UFB Datasheet</v>
      </c>
      <c r="C411" t="s">
        <v>24</v>
      </c>
      <c r="D411" t="s">
        <v>28</v>
      </c>
      <c r="E411" t="s">
        <v>26</v>
      </c>
      <c r="F411" t="s">
        <v>27</v>
      </c>
      <c r="G411" t="s">
        <v>25</v>
      </c>
      <c r="H411">
        <v>20</v>
      </c>
      <c r="I411">
        <v>6</v>
      </c>
      <c r="J411">
        <v>1.3</v>
      </c>
      <c r="L411">
        <v>1.3</v>
      </c>
      <c r="O411">
        <v>450</v>
      </c>
      <c r="P411">
        <v>600</v>
      </c>
      <c r="Q411">
        <v>750</v>
      </c>
      <c r="R411">
        <v>0.5</v>
      </c>
      <c r="S411">
        <v>1</v>
      </c>
      <c r="T411">
        <v>0.6</v>
      </c>
      <c r="V411">
        <v>42</v>
      </c>
      <c r="W411">
        <v>16</v>
      </c>
      <c r="X411" t="s">
        <v>592</v>
      </c>
    </row>
    <row r="412" spans="1:24">
      <c r="A412" t="str">
        <f>Hyperlink("https://www.diodes.com/part/view/DMN2710UFBQ","DMN2710UFBQ")</f>
        <v>DMN2710UFBQ</v>
      </c>
      <c r="B412" t="str">
        <f>Hyperlink("https://www.diodes.com/assets/Datasheets/DMN2710UFBQ.pdf","DMN2710UFBQ Datasheet")</f>
        <v>DMN2710UFBQ Datasheet</v>
      </c>
      <c r="C412" t="s">
        <v>605</v>
      </c>
      <c r="D412" t="s">
        <v>25</v>
      </c>
      <c r="E412" t="s">
        <v>33</v>
      </c>
      <c r="F412" t="s">
        <v>27</v>
      </c>
      <c r="G412" t="s">
        <v>25</v>
      </c>
      <c r="H412">
        <v>20</v>
      </c>
      <c r="I412">
        <v>6</v>
      </c>
      <c r="J412">
        <v>1.3</v>
      </c>
      <c r="L412">
        <v>1.3</v>
      </c>
      <c r="O412">
        <v>450</v>
      </c>
      <c r="P412">
        <v>600</v>
      </c>
      <c r="Q412">
        <v>750</v>
      </c>
      <c r="R412">
        <v>0.5</v>
      </c>
      <c r="S412">
        <v>1</v>
      </c>
      <c r="T412">
        <v>0.6</v>
      </c>
      <c r="V412">
        <v>42</v>
      </c>
      <c r="W412">
        <v>16</v>
      </c>
      <c r="X412" t="s">
        <v>592</v>
      </c>
    </row>
    <row r="413" spans="1:24">
      <c r="A413" t="str">
        <f>Hyperlink("https://www.diodes.com/part/view/DMN2710UT","DMN2710UT")</f>
        <v>DMN2710UT</v>
      </c>
      <c r="B413" t="str">
        <f>Hyperlink("https://www.diodes.com/assets/Datasheets/DMN2710UT.pdf","DMN2710UT Datasheet")</f>
        <v>DMN2710UT Datasheet</v>
      </c>
      <c r="C413" t="s">
        <v>24</v>
      </c>
      <c r="D413" t="s">
        <v>28</v>
      </c>
      <c r="E413" t="s">
        <v>26</v>
      </c>
      <c r="F413" t="s">
        <v>27</v>
      </c>
      <c r="G413" t="s">
        <v>25</v>
      </c>
      <c r="H413">
        <v>20</v>
      </c>
      <c r="I413">
        <v>6</v>
      </c>
      <c r="J413">
        <v>0.87</v>
      </c>
      <c r="L413">
        <v>0.52</v>
      </c>
      <c r="O413">
        <v>450</v>
      </c>
      <c r="P413">
        <v>600</v>
      </c>
      <c r="Q413">
        <v>750</v>
      </c>
      <c r="R413">
        <v>0.5</v>
      </c>
      <c r="S413">
        <v>1</v>
      </c>
      <c r="T413">
        <v>0.6</v>
      </c>
      <c r="V413">
        <v>42</v>
      </c>
      <c r="W413">
        <v>16</v>
      </c>
      <c r="X413" t="s">
        <v>41</v>
      </c>
    </row>
    <row r="414" spans="1:24">
      <c r="A414" t="str">
        <f>Hyperlink("https://www.diodes.com/part/view/DMN2710UTQ","DMN2710UTQ")</f>
        <v>DMN2710UTQ</v>
      </c>
      <c r="B414" t="str">
        <f>Hyperlink("https://www.diodes.com/assets/Datasheets/DMN2710UTQ.pdf","DMN2710UTQ Datasheet")</f>
        <v>DMN2710UTQ Datasheet</v>
      </c>
      <c r="C414" t="s">
        <v>24</v>
      </c>
      <c r="D414" t="s">
        <v>25</v>
      </c>
      <c r="E414" t="s">
        <v>33</v>
      </c>
      <c r="F414" t="s">
        <v>27</v>
      </c>
      <c r="G414" t="s">
        <v>25</v>
      </c>
      <c r="H414">
        <v>20</v>
      </c>
      <c r="I414">
        <v>6</v>
      </c>
      <c r="J414">
        <v>0.87</v>
      </c>
      <c r="L414">
        <v>0.52</v>
      </c>
      <c r="O414">
        <v>450</v>
      </c>
      <c r="P414">
        <v>600</v>
      </c>
      <c r="Q414">
        <v>750</v>
      </c>
      <c r="R414">
        <v>0.5</v>
      </c>
      <c r="S414">
        <v>1</v>
      </c>
      <c r="T414">
        <v>0.6</v>
      </c>
      <c r="V414">
        <v>42</v>
      </c>
      <c r="W414">
        <v>16</v>
      </c>
      <c r="X414" t="s">
        <v>41</v>
      </c>
    </row>
    <row r="415" spans="1:24">
      <c r="A415" t="str">
        <f>Hyperlink("https://www.diodes.com/part/view/DMN2710UV","DMN2710UV")</f>
        <v>DMN2710UV</v>
      </c>
      <c r="B415" t="str">
        <f>Hyperlink("https://www.diodes.com/assets/Datasheets/DMN2710UV.pdf","DMN2710UV Datasheet")</f>
        <v>DMN2710UV Datasheet</v>
      </c>
      <c r="C415" t="s">
        <v>649</v>
      </c>
      <c r="D415" t="s">
        <v>28</v>
      </c>
      <c r="E415" t="s">
        <v>26</v>
      </c>
      <c r="F415" t="s">
        <v>35</v>
      </c>
      <c r="G415" t="s">
        <v>25</v>
      </c>
      <c r="H415">
        <v>20</v>
      </c>
      <c r="I415">
        <v>6</v>
      </c>
      <c r="J415">
        <v>0.92</v>
      </c>
      <c r="L415">
        <v>0.5</v>
      </c>
      <c r="O415">
        <v>450</v>
      </c>
      <c r="P415">
        <v>600</v>
      </c>
      <c r="Q415">
        <v>750</v>
      </c>
      <c r="R415">
        <v>0.5</v>
      </c>
      <c r="S415">
        <v>1</v>
      </c>
      <c r="T415">
        <v>0.6</v>
      </c>
      <c r="V415">
        <v>42</v>
      </c>
      <c r="W415">
        <v>16</v>
      </c>
      <c r="X415" t="s">
        <v>43</v>
      </c>
    </row>
    <row r="416" spans="1:24">
      <c r="A416" t="str">
        <f>Hyperlink("https://www.diodes.com/part/view/DMN2710UVQ","DMN2710UVQ")</f>
        <v>DMN2710UVQ</v>
      </c>
      <c r="B416" t="str">
        <f>Hyperlink("https://www.diodes.com/assets/Datasheets/DMN2710UVQ.pdf","DMN2710UVQ Datasheet")</f>
        <v>DMN2710UVQ Datasheet</v>
      </c>
      <c r="C416" t="s">
        <v>649</v>
      </c>
      <c r="D416" t="s">
        <v>25</v>
      </c>
      <c r="E416" t="s">
        <v>33</v>
      </c>
      <c r="F416" t="s">
        <v>35</v>
      </c>
      <c r="G416" t="s">
        <v>25</v>
      </c>
      <c r="H416">
        <v>20</v>
      </c>
      <c r="I416">
        <v>6</v>
      </c>
      <c r="J416">
        <v>0.92</v>
      </c>
      <c r="L416">
        <v>0.5</v>
      </c>
      <c r="O416">
        <v>450</v>
      </c>
      <c r="P416">
        <v>600</v>
      </c>
      <c r="Q416">
        <v>750</v>
      </c>
      <c r="R416">
        <v>0.5</v>
      </c>
      <c r="S416">
        <v>1</v>
      </c>
      <c r="T416">
        <v>0.6</v>
      </c>
      <c r="V416">
        <v>42</v>
      </c>
      <c r="W416">
        <v>16</v>
      </c>
      <c r="X416" t="s">
        <v>43</v>
      </c>
    </row>
    <row r="417" spans="1:24">
      <c r="A417" t="str">
        <f>Hyperlink("https://www.diodes.com/part/view/DMN2710UW","DMN2710UW")</f>
        <v>DMN2710UW</v>
      </c>
      <c r="B417" t="str">
        <f>Hyperlink("https://www.diodes.com/assets/Datasheets/DMN2710UW.pdf","DMN2710UW Datasheet")</f>
        <v>DMN2710UW Datasheet</v>
      </c>
      <c r="C417" t="s">
        <v>24</v>
      </c>
      <c r="D417" t="s">
        <v>28</v>
      </c>
      <c r="E417" t="s">
        <v>26</v>
      </c>
      <c r="F417" t="s">
        <v>27</v>
      </c>
      <c r="G417" t="s">
        <v>25</v>
      </c>
      <c r="H417">
        <v>20</v>
      </c>
      <c r="I417">
        <v>6</v>
      </c>
      <c r="J417">
        <v>0.9</v>
      </c>
      <c r="L417">
        <v>0.6</v>
      </c>
      <c r="O417">
        <v>450</v>
      </c>
      <c r="P417">
        <v>600</v>
      </c>
      <c r="Q417">
        <v>750</v>
      </c>
      <c r="R417">
        <v>0.5</v>
      </c>
      <c r="S417">
        <v>1</v>
      </c>
      <c r="T417">
        <v>0.6</v>
      </c>
      <c r="V417">
        <v>42</v>
      </c>
      <c r="W417">
        <v>16</v>
      </c>
      <c r="X417" t="s">
        <v>60</v>
      </c>
    </row>
    <row r="418" spans="1:24">
      <c r="A418" t="str">
        <f>Hyperlink("https://www.diodes.com/part/view/DMN2710UWQ","DMN2710UWQ")</f>
        <v>DMN2710UWQ</v>
      </c>
      <c r="B418" t="str">
        <f>Hyperlink("https://www.diodes.com/assets/Datasheets/DMN2710UWQ.pdf","DMN2710UWQ Datasheet")</f>
        <v>DMN2710UWQ Datasheet</v>
      </c>
      <c r="C418" t="s">
        <v>24</v>
      </c>
      <c r="D418" t="s">
        <v>25</v>
      </c>
      <c r="E418" t="s">
        <v>33</v>
      </c>
      <c r="F418" t="s">
        <v>27</v>
      </c>
      <c r="G418" t="s">
        <v>25</v>
      </c>
      <c r="H418">
        <v>20</v>
      </c>
      <c r="I418">
        <v>6</v>
      </c>
      <c r="J418">
        <v>0.9</v>
      </c>
      <c r="L418">
        <v>0.6</v>
      </c>
      <c r="O418">
        <v>450</v>
      </c>
      <c r="P418">
        <v>600</v>
      </c>
      <c r="Q418">
        <v>750</v>
      </c>
      <c r="R418">
        <v>0.5</v>
      </c>
      <c r="S418">
        <v>1</v>
      </c>
      <c r="T418">
        <v>0.6</v>
      </c>
      <c r="V418">
        <v>42</v>
      </c>
      <c r="W418">
        <v>16</v>
      </c>
      <c r="X418" t="s">
        <v>60</v>
      </c>
    </row>
    <row r="419" spans="1:24">
      <c r="A419" t="str">
        <f>Hyperlink("https://www.diodes.com/part/view/DMN2990UDJ","DMN2990UDJ")</f>
        <v>DMN2990UDJ</v>
      </c>
      <c r="B419" t="str">
        <f>Hyperlink("https://www.diodes.com/assets/Datasheets/DMN2990UDJ.pdf","DMN2990UDJ Datasheet")</f>
        <v>DMN2990UDJ Datasheet</v>
      </c>
      <c r="C419" t="s">
        <v>496</v>
      </c>
      <c r="D419" t="s">
        <v>25</v>
      </c>
      <c r="E419" t="s">
        <v>26</v>
      </c>
      <c r="F419" t="s">
        <v>35</v>
      </c>
      <c r="G419" t="s">
        <v>25</v>
      </c>
      <c r="H419">
        <v>20</v>
      </c>
      <c r="I419">
        <v>8</v>
      </c>
      <c r="J419">
        <v>0.45</v>
      </c>
      <c r="L419">
        <v>0.35</v>
      </c>
      <c r="O419">
        <v>990</v>
      </c>
      <c r="P419">
        <v>1200</v>
      </c>
      <c r="Q419">
        <v>1800</v>
      </c>
      <c r="R419">
        <v>0.4</v>
      </c>
      <c r="S419">
        <v>1</v>
      </c>
      <c r="T419">
        <v>0.5</v>
      </c>
      <c r="V419">
        <v>28</v>
      </c>
      <c r="X419" t="s">
        <v>274</v>
      </c>
    </row>
    <row r="420" spans="1:24">
      <c r="A420" t="str">
        <f>Hyperlink("https://www.diodes.com/part/view/DMN2990UDJQ","DMN2990UDJQ")</f>
        <v>DMN2990UDJQ</v>
      </c>
      <c r="B420" t="str">
        <f>Hyperlink("https://www.diodes.com/assets/Datasheets/DMN2990UDJQ.pdf","DMN2990UDJQ Datasheet")</f>
        <v>DMN2990UDJQ Datasheet</v>
      </c>
      <c r="C420" t="s">
        <v>34</v>
      </c>
      <c r="D420" t="s">
        <v>25</v>
      </c>
      <c r="E420" t="s">
        <v>33</v>
      </c>
      <c r="F420" t="s">
        <v>35</v>
      </c>
      <c r="G420" t="s">
        <v>25</v>
      </c>
      <c r="H420">
        <v>20</v>
      </c>
      <c r="I420">
        <v>8</v>
      </c>
      <c r="J420">
        <v>0.45</v>
      </c>
      <c r="L420">
        <v>0.35</v>
      </c>
      <c r="O420">
        <v>990</v>
      </c>
      <c r="P420">
        <v>1200</v>
      </c>
      <c r="Q420">
        <v>1800</v>
      </c>
      <c r="R420">
        <v>0.4</v>
      </c>
      <c r="S420">
        <v>1</v>
      </c>
      <c r="T420">
        <v>0.5</v>
      </c>
      <c r="V420">
        <v>27.6</v>
      </c>
      <c r="W420">
        <v>16</v>
      </c>
      <c r="X420" t="s">
        <v>274</v>
      </c>
    </row>
    <row r="421" spans="1:24">
      <c r="A421" t="str">
        <f>Hyperlink("https://www.diodes.com/part/view/DMN2990UFA","DMN2990UFA")</f>
        <v>DMN2990UFA</v>
      </c>
      <c r="B421" t="str">
        <f>Hyperlink("https://www.diodes.com/assets/Datasheets/DMN2990UFA.pdf","DMN2990UFA Datasheet")</f>
        <v>DMN2990UFA Datasheet</v>
      </c>
      <c r="C421" t="s">
        <v>496</v>
      </c>
      <c r="D421" t="s">
        <v>25</v>
      </c>
      <c r="E421" t="s">
        <v>26</v>
      </c>
      <c r="F421" t="s">
        <v>27</v>
      </c>
      <c r="G421" t="s">
        <v>25</v>
      </c>
      <c r="H421">
        <v>20</v>
      </c>
      <c r="I421">
        <v>8</v>
      </c>
      <c r="J421">
        <v>0.51</v>
      </c>
      <c r="L421">
        <v>0.4</v>
      </c>
      <c r="O421">
        <v>990</v>
      </c>
      <c r="P421">
        <v>1200</v>
      </c>
      <c r="Q421">
        <v>1800</v>
      </c>
      <c r="R421">
        <v>0.4</v>
      </c>
      <c r="S421">
        <v>1</v>
      </c>
      <c r="T421">
        <v>0.5</v>
      </c>
      <c r="V421">
        <v>28</v>
      </c>
      <c r="X421" t="s">
        <v>595</v>
      </c>
    </row>
    <row r="422" spans="1:24">
      <c r="A422" t="str">
        <f>Hyperlink("https://www.diodes.com/part/view/DMN2990UFB","DMN2990UFB")</f>
        <v>DMN2990UFB</v>
      </c>
      <c r="B422" t="str">
        <f>Hyperlink("https://www.diodes.com/assets/Datasheets/DMN2990UFB.pdf","DMN2990UFB Datasheet")</f>
        <v>DMN2990UFB Datasheet</v>
      </c>
      <c r="C422" t="s">
        <v>616</v>
      </c>
      <c r="D422" t="s">
        <v>25</v>
      </c>
      <c r="E422" t="s">
        <v>26</v>
      </c>
      <c r="F422" t="s">
        <v>27</v>
      </c>
      <c r="G422" t="s">
        <v>25</v>
      </c>
      <c r="H422">
        <v>20</v>
      </c>
      <c r="I422">
        <v>8</v>
      </c>
      <c r="J422">
        <v>0.78</v>
      </c>
      <c r="L422">
        <v>0.92</v>
      </c>
      <c r="O422">
        <v>900</v>
      </c>
      <c r="P422">
        <v>1200</v>
      </c>
      <c r="Q422">
        <v>1800</v>
      </c>
      <c r="R422">
        <v>0.4</v>
      </c>
      <c r="S422">
        <v>1</v>
      </c>
      <c r="T422">
        <v>0.41</v>
      </c>
      <c r="V422">
        <v>31</v>
      </c>
      <c r="W422">
        <v>15</v>
      </c>
      <c r="X422" t="s">
        <v>592</v>
      </c>
    </row>
    <row r="423" spans="1:24">
      <c r="A423" t="str">
        <f>Hyperlink("https://www.diodes.com/part/view/DMN2990UFO","DMN2990UFO")</f>
        <v>DMN2990UFO</v>
      </c>
      <c r="B423" t="str">
        <f>Hyperlink("https://www.diodes.com/assets/Datasheets/DMN2990UFO.pdf","DMN2990UFO Datasheet")</f>
        <v>DMN2990UFO Datasheet</v>
      </c>
      <c r="C423" t="s">
        <v>616</v>
      </c>
      <c r="D423" t="s">
        <v>28</v>
      </c>
      <c r="E423" t="s">
        <v>26</v>
      </c>
      <c r="F423" t="s">
        <v>27</v>
      </c>
      <c r="G423" t="s">
        <v>25</v>
      </c>
      <c r="H423">
        <v>20</v>
      </c>
      <c r="I423">
        <v>8</v>
      </c>
      <c r="J423">
        <v>0.75</v>
      </c>
      <c r="L423">
        <v>0.84</v>
      </c>
      <c r="O423">
        <v>990</v>
      </c>
      <c r="P423">
        <v>1200</v>
      </c>
      <c r="Q423">
        <v>1800</v>
      </c>
      <c r="R423">
        <v>0.4</v>
      </c>
      <c r="S423">
        <v>1</v>
      </c>
      <c r="T423">
        <v>0.41</v>
      </c>
      <c r="V423">
        <v>31</v>
      </c>
      <c r="W423">
        <v>15</v>
      </c>
      <c r="X423" t="s">
        <v>650</v>
      </c>
    </row>
    <row r="424" spans="1:24">
      <c r="A424" t="str">
        <f>Hyperlink("https://www.diodes.com/part/view/DMN2990UFZ","DMN2990UFZ")</f>
        <v>DMN2990UFZ</v>
      </c>
      <c r="B424" t="str">
        <f>Hyperlink("https://www.diodes.com/assets/Datasheets/DMN2990UFZ.pdf","DMN2990UFZ Datasheet")</f>
        <v>DMN2990UFZ Datasheet</v>
      </c>
      <c r="C424" t="s">
        <v>496</v>
      </c>
      <c r="D424" t="s">
        <v>25</v>
      </c>
      <c r="E424" t="s">
        <v>26</v>
      </c>
      <c r="F424" t="s">
        <v>27</v>
      </c>
      <c r="G424" t="s">
        <v>25</v>
      </c>
      <c r="H424">
        <v>20</v>
      </c>
      <c r="I424">
        <v>8</v>
      </c>
      <c r="J424">
        <v>0.25</v>
      </c>
      <c r="L424">
        <v>0.32</v>
      </c>
      <c r="O424">
        <v>990</v>
      </c>
      <c r="P424">
        <v>1200</v>
      </c>
      <c r="Q424">
        <v>1800</v>
      </c>
      <c r="R424">
        <v>0.4</v>
      </c>
      <c r="S424">
        <v>1</v>
      </c>
      <c r="T424">
        <v>0.5</v>
      </c>
      <c r="V424">
        <v>28</v>
      </c>
      <c r="X424" t="s">
        <v>651</v>
      </c>
    </row>
    <row r="425" spans="1:24">
      <c r="A425" t="str">
        <f>Hyperlink("https://www.diodes.com/part/view/DMN2991UDA","DMN2991UDA")</f>
        <v>DMN2991UDA</v>
      </c>
      <c r="B425" t="str">
        <f>Hyperlink("https://www.diodes.com/assets/Datasheets/DMN2991UDA.pdf","DMN2991UDA Datasheet")</f>
        <v>DMN2991UDA Datasheet</v>
      </c>
      <c r="C425" t="s">
        <v>34</v>
      </c>
      <c r="D425" t="s">
        <v>28</v>
      </c>
      <c r="E425" t="s">
        <v>26</v>
      </c>
      <c r="F425" t="s">
        <v>35</v>
      </c>
      <c r="G425" t="s">
        <v>25</v>
      </c>
      <c r="H425">
        <v>20</v>
      </c>
      <c r="I425">
        <v>8</v>
      </c>
      <c r="J425">
        <v>0.45</v>
      </c>
      <c r="L425">
        <v>0.31</v>
      </c>
      <c r="O425">
        <v>990</v>
      </c>
      <c r="P425">
        <v>1200</v>
      </c>
      <c r="Q425">
        <v>1800</v>
      </c>
      <c r="R425">
        <v>0.4</v>
      </c>
      <c r="S425">
        <v>1</v>
      </c>
      <c r="T425">
        <v>0.35</v>
      </c>
      <c r="V425">
        <v>21.5</v>
      </c>
      <c r="W425">
        <v>16</v>
      </c>
      <c r="X425" t="s">
        <v>225</v>
      </c>
    </row>
    <row r="426" spans="1:24">
      <c r="A426" t="str">
        <f>Hyperlink("https://www.diodes.com/part/view/DMN2991UDJ","DMN2991UDJ")</f>
        <v>DMN2991UDJ</v>
      </c>
      <c r="B426" t="str">
        <f>Hyperlink("https://www.diodes.com/assets/Datasheets/DMN2991UDJ.pdf","DMN2991UDJ Datasheet")</f>
        <v>DMN2991UDJ Datasheet</v>
      </c>
      <c r="C426" t="s">
        <v>34</v>
      </c>
      <c r="D426" t="s">
        <v>28</v>
      </c>
      <c r="E426" t="s">
        <v>26</v>
      </c>
      <c r="F426" t="s">
        <v>35</v>
      </c>
      <c r="G426" t="s">
        <v>25</v>
      </c>
      <c r="H426">
        <v>20</v>
      </c>
      <c r="I426">
        <v>8</v>
      </c>
      <c r="J426">
        <v>0.5</v>
      </c>
      <c r="L426">
        <v>0.38</v>
      </c>
      <c r="O426">
        <v>990</v>
      </c>
      <c r="P426">
        <v>1200</v>
      </c>
      <c r="Q426">
        <v>1800</v>
      </c>
      <c r="R426">
        <v>0.4</v>
      </c>
      <c r="S426">
        <v>1</v>
      </c>
      <c r="T426">
        <v>0.35</v>
      </c>
      <c r="V426">
        <v>21.5</v>
      </c>
      <c r="W426">
        <v>15</v>
      </c>
      <c r="X426" t="s">
        <v>274</v>
      </c>
    </row>
    <row r="427" spans="1:24">
      <c r="A427" t="str">
        <f>Hyperlink("https://www.diodes.com/part/view/DMN2991UDR4","DMN2991UDR4")</f>
        <v>DMN2991UDR4</v>
      </c>
      <c r="B427" t="str">
        <f>Hyperlink("https://www.diodes.com/assets/Datasheets/DMN2991UDR4.pdf","DMN2991UDR4 Datasheet")</f>
        <v>DMN2991UDR4 Datasheet</v>
      </c>
      <c r="C427" t="s">
        <v>649</v>
      </c>
      <c r="D427" t="s">
        <v>28</v>
      </c>
      <c r="E427" t="s">
        <v>26</v>
      </c>
      <c r="F427" t="s">
        <v>35</v>
      </c>
      <c r="G427" t="s">
        <v>25</v>
      </c>
      <c r="H427">
        <v>20</v>
      </c>
      <c r="I427">
        <v>8</v>
      </c>
      <c r="J427">
        <v>0.5</v>
      </c>
      <c r="L427">
        <v>0.7</v>
      </c>
      <c r="O427">
        <v>990</v>
      </c>
      <c r="P427">
        <v>1200</v>
      </c>
      <c r="Q427">
        <v>1800</v>
      </c>
      <c r="R427">
        <v>0.4</v>
      </c>
      <c r="S427">
        <v>1</v>
      </c>
      <c r="T427">
        <v>0.28</v>
      </c>
      <c r="V427">
        <v>14.6</v>
      </c>
      <c r="W427">
        <v>16</v>
      </c>
      <c r="X427" t="s">
        <v>284</v>
      </c>
    </row>
    <row r="428" spans="1:24">
      <c r="A428" t="str">
        <f>Hyperlink("https://www.diodes.com/part/view/DMN2991UFA","DMN2991UFA")</f>
        <v>DMN2991UFA</v>
      </c>
      <c r="B428" t="str">
        <f>Hyperlink("https://www.diodes.com/assets/Datasheets/DMN2991UFA.pdf","DMN2991UFA Datasheet")</f>
        <v>DMN2991UFA Datasheet</v>
      </c>
      <c r="C428" t="s">
        <v>638</v>
      </c>
      <c r="D428" t="s">
        <v>28</v>
      </c>
      <c r="E428" t="s">
        <v>26</v>
      </c>
      <c r="F428" t="s">
        <v>27</v>
      </c>
      <c r="G428" t="s">
        <v>25</v>
      </c>
      <c r="H428">
        <v>20</v>
      </c>
      <c r="I428">
        <v>8</v>
      </c>
      <c r="J428">
        <v>0.52</v>
      </c>
      <c r="L428">
        <v>0.42</v>
      </c>
      <c r="O428">
        <v>990</v>
      </c>
      <c r="P428">
        <v>1200</v>
      </c>
      <c r="Q428">
        <v>1800</v>
      </c>
      <c r="R428">
        <v>0.4</v>
      </c>
      <c r="S428">
        <v>1</v>
      </c>
      <c r="T428">
        <v>0.28</v>
      </c>
      <c r="V428">
        <v>14.6</v>
      </c>
      <c r="W428">
        <v>16</v>
      </c>
      <c r="X428" t="s">
        <v>595</v>
      </c>
    </row>
    <row r="429" spans="1:24">
      <c r="A429" t="str">
        <f>Hyperlink("https://www.diodes.com/part/view/DMN2991UFB4","DMN2991UFB4")</f>
        <v>DMN2991UFB4</v>
      </c>
      <c r="B429" t="str">
        <f>Hyperlink("https://www.diodes.com/assets/Datasheets/DMN2991UFB4.pdf","DMN2991UFB4 Datasheet")</f>
        <v>DMN2991UFB4 Datasheet</v>
      </c>
      <c r="C429" t="s">
        <v>616</v>
      </c>
      <c r="D429" t="s">
        <v>25</v>
      </c>
      <c r="E429" t="s">
        <v>26</v>
      </c>
      <c r="F429" t="s">
        <v>27</v>
      </c>
      <c r="G429" t="s">
        <v>25</v>
      </c>
      <c r="H429">
        <v>20</v>
      </c>
      <c r="I429">
        <v>8</v>
      </c>
      <c r="J429">
        <v>0.5</v>
      </c>
      <c r="L429">
        <v>0.36</v>
      </c>
      <c r="O429">
        <v>990</v>
      </c>
      <c r="P429">
        <v>1200</v>
      </c>
      <c r="Q429">
        <v>1800</v>
      </c>
      <c r="R429">
        <v>0.4</v>
      </c>
      <c r="S429">
        <v>1</v>
      </c>
      <c r="T429">
        <v>0.28</v>
      </c>
      <c r="V429">
        <v>14.6</v>
      </c>
      <c r="W429">
        <v>16</v>
      </c>
      <c r="X429" t="s">
        <v>615</v>
      </c>
    </row>
    <row r="430" spans="1:24">
      <c r="A430" t="str">
        <f>Hyperlink("https://www.diodes.com/part/view/DMN2991UFB4Q","DMN2991UFB4Q")</f>
        <v>DMN2991UFB4Q</v>
      </c>
      <c r="B430" t="str">
        <f>Hyperlink("https://www.diodes.com/assets/Datasheets/DMN2991UFB4Q.pdf","DMN2991UFB4Q Datasheet")</f>
        <v>DMN2991UFB4Q Datasheet</v>
      </c>
      <c r="C430" t="s">
        <v>616</v>
      </c>
      <c r="D430" t="s">
        <v>25</v>
      </c>
      <c r="E430" t="s">
        <v>33</v>
      </c>
      <c r="F430" t="s">
        <v>27</v>
      </c>
      <c r="G430" t="s">
        <v>25</v>
      </c>
      <c r="H430">
        <v>20</v>
      </c>
      <c r="I430">
        <v>8</v>
      </c>
      <c r="J430">
        <v>0.5</v>
      </c>
      <c r="L430">
        <v>0.36</v>
      </c>
      <c r="O430">
        <v>990</v>
      </c>
      <c r="P430">
        <v>1200</v>
      </c>
      <c r="Q430">
        <v>1800</v>
      </c>
      <c r="R430">
        <v>0.4</v>
      </c>
      <c r="S430">
        <v>1</v>
      </c>
      <c r="T430">
        <v>0.28</v>
      </c>
      <c r="V430">
        <v>14.6</v>
      </c>
      <c r="W430">
        <v>16</v>
      </c>
      <c r="X430" t="s">
        <v>615</v>
      </c>
    </row>
    <row r="431" spans="1:24">
      <c r="A431" t="str">
        <f>Hyperlink("https://www.diodes.com/part/view/DMN2991UFO","DMN2991UFO")</f>
        <v>DMN2991UFO</v>
      </c>
      <c r="B431" t="str">
        <f>Hyperlink("https://www.diodes.com/assets/Datasheets/DMN2991UFO.pdf","DMN2991UFO Datasheet")</f>
        <v>DMN2991UFO Datasheet</v>
      </c>
      <c r="C431" t="s">
        <v>616</v>
      </c>
      <c r="D431" t="s">
        <v>28</v>
      </c>
      <c r="E431" t="s">
        <v>26</v>
      </c>
      <c r="F431" t="s">
        <v>27</v>
      </c>
      <c r="G431" t="s">
        <v>25</v>
      </c>
      <c r="H431">
        <v>20</v>
      </c>
      <c r="I431">
        <v>8</v>
      </c>
      <c r="J431">
        <v>0.54</v>
      </c>
      <c r="L431">
        <v>0.44</v>
      </c>
      <c r="O431">
        <v>990</v>
      </c>
      <c r="P431">
        <v>1200</v>
      </c>
      <c r="Q431">
        <v>1800</v>
      </c>
      <c r="R431">
        <v>0.4</v>
      </c>
      <c r="S431">
        <v>1</v>
      </c>
      <c r="T431">
        <v>0.35</v>
      </c>
      <c r="V431">
        <v>21.5</v>
      </c>
      <c r="W431">
        <v>15</v>
      </c>
      <c r="X431" t="s">
        <v>650</v>
      </c>
    </row>
    <row r="432" spans="1:24">
      <c r="A432" t="str">
        <f>Hyperlink("https://www.diodes.com/part/view/DMN2991UFZ","DMN2991UFZ")</f>
        <v>DMN2991UFZ</v>
      </c>
      <c r="B432" t="str">
        <f>Hyperlink("https://www.diodes.com/assets/Datasheets/DMN2991UFZ.pdf","DMN2991UFZ Datasheet")</f>
        <v>DMN2991UFZ Datasheet</v>
      </c>
      <c r="C432" t="s">
        <v>616</v>
      </c>
      <c r="D432" t="s">
        <v>28</v>
      </c>
      <c r="E432" t="s">
        <v>26</v>
      </c>
      <c r="F432" t="s">
        <v>27</v>
      </c>
      <c r="G432" t="s">
        <v>25</v>
      </c>
      <c r="H432">
        <v>20</v>
      </c>
      <c r="I432">
        <v>8</v>
      </c>
      <c r="J432">
        <v>0.55</v>
      </c>
      <c r="L432">
        <v>0.53</v>
      </c>
      <c r="O432">
        <v>990</v>
      </c>
      <c r="P432">
        <v>1200</v>
      </c>
      <c r="Q432">
        <v>1800</v>
      </c>
      <c r="R432">
        <v>0.4</v>
      </c>
      <c r="S432">
        <v>1</v>
      </c>
      <c r="T432">
        <v>0.35</v>
      </c>
      <c r="V432">
        <v>21.5</v>
      </c>
      <c r="W432">
        <v>16</v>
      </c>
      <c r="X432" t="s">
        <v>651</v>
      </c>
    </row>
    <row r="433" spans="1:24">
      <c r="A433" t="str">
        <f>Hyperlink("https://www.diodes.com/part/view/DMN2991UFZQ","DMN2991UFZQ")</f>
        <v>DMN2991UFZQ</v>
      </c>
      <c r="B433" t="str">
        <f>Hyperlink("https://www.diodes.com/assets/Datasheets/DMN2991UFZQ.pdf","DMN2991UFZQ Datasheet")</f>
        <v>DMN2991UFZQ Datasheet</v>
      </c>
      <c r="C433" t="s">
        <v>616</v>
      </c>
      <c r="D433" t="s">
        <v>25</v>
      </c>
      <c r="E433" t="s">
        <v>33</v>
      </c>
      <c r="F433" t="s">
        <v>27</v>
      </c>
      <c r="G433" t="s">
        <v>25</v>
      </c>
      <c r="H433">
        <v>20</v>
      </c>
      <c r="I433">
        <v>8</v>
      </c>
      <c r="J433">
        <v>0.55</v>
      </c>
      <c r="L433">
        <v>0.53</v>
      </c>
      <c r="O433">
        <v>990</v>
      </c>
      <c r="P433">
        <v>1200</v>
      </c>
      <c r="Q433">
        <v>1800</v>
      </c>
      <c r="R433">
        <v>0.4</v>
      </c>
      <c r="S433">
        <v>1</v>
      </c>
      <c r="T433">
        <v>0.28</v>
      </c>
      <c r="V433">
        <v>14.6</v>
      </c>
      <c r="W433">
        <v>16</v>
      </c>
      <c r="X433" t="s">
        <v>651</v>
      </c>
    </row>
    <row r="434" spans="1:24">
      <c r="A434" t="str">
        <f>Hyperlink("https://www.diodes.com/part/view/DMN2991UT","DMN2991UT")</f>
        <v>DMN2991UT</v>
      </c>
      <c r="B434" t="str">
        <f>Hyperlink("https://www.diodes.com/assets/Datasheets/DMN2991UT.pdf","DMN2991UT Datasheet")</f>
        <v>DMN2991UT Datasheet</v>
      </c>
      <c r="C434" t="s">
        <v>24</v>
      </c>
      <c r="D434" t="s">
        <v>28</v>
      </c>
      <c r="E434" t="s">
        <v>26</v>
      </c>
      <c r="F434" t="s">
        <v>27</v>
      </c>
      <c r="G434" t="s">
        <v>25</v>
      </c>
      <c r="H434">
        <v>20</v>
      </c>
      <c r="I434">
        <v>10</v>
      </c>
      <c r="J434">
        <v>0.3</v>
      </c>
      <c r="L434">
        <v>0.43</v>
      </c>
      <c r="O434">
        <v>3000</v>
      </c>
      <c r="P434">
        <v>4000</v>
      </c>
      <c r="Q434">
        <v>6000</v>
      </c>
      <c r="R434">
        <v>0.5</v>
      </c>
      <c r="S434">
        <v>1</v>
      </c>
      <c r="T434">
        <v>0.35</v>
      </c>
      <c r="V434">
        <v>21.5</v>
      </c>
      <c r="W434">
        <v>15</v>
      </c>
      <c r="X434" t="s">
        <v>41</v>
      </c>
    </row>
    <row r="435" spans="1:24">
      <c r="A435" t="str">
        <f>Hyperlink("https://www.diodes.com/part/view/DMN2991UTQ","DMN2991UTQ")</f>
        <v>DMN2991UTQ</v>
      </c>
      <c r="B435" t="str">
        <f>Hyperlink("https://www.diodes.com/assets/Datasheets/DMN2991UTQ.pdf","DMN2991UTQ Datasheet")</f>
        <v>DMN2991UTQ Datasheet</v>
      </c>
      <c r="C435" t="s">
        <v>24</v>
      </c>
      <c r="D435" t="s">
        <v>25</v>
      </c>
      <c r="E435" t="s">
        <v>33</v>
      </c>
      <c r="F435" t="s">
        <v>27</v>
      </c>
      <c r="G435" t="s">
        <v>25</v>
      </c>
      <c r="H435">
        <v>20</v>
      </c>
      <c r="I435">
        <v>10</v>
      </c>
      <c r="J435">
        <v>0.3</v>
      </c>
      <c r="L435">
        <v>0.43</v>
      </c>
      <c r="O435">
        <v>3000</v>
      </c>
      <c r="P435">
        <v>4000</v>
      </c>
      <c r="Q435">
        <v>6000</v>
      </c>
      <c r="R435">
        <v>0.5</v>
      </c>
      <c r="S435">
        <v>1</v>
      </c>
      <c r="T435">
        <v>0.35</v>
      </c>
      <c r="V435">
        <v>21.5</v>
      </c>
      <c r="W435">
        <v>15</v>
      </c>
      <c r="X435" t="s">
        <v>41</v>
      </c>
    </row>
    <row r="436" spans="1:24">
      <c r="A436" t="str">
        <f>Hyperlink("https://www.diodes.com/part/view/DMN2992UFB4","DMN2992UFB4")</f>
        <v>DMN2992UFB4</v>
      </c>
      <c r="B436" t="str">
        <f>Hyperlink("https://www.diodes.com/assets/Datasheets/DMN2992UFB4.pdf","DMN2992UFB4 Datasheet")</f>
        <v>DMN2992UFB4 Datasheet</v>
      </c>
      <c r="C436" t="s">
        <v>638</v>
      </c>
      <c r="D436" t="s">
        <v>28</v>
      </c>
      <c r="E436" t="s">
        <v>26</v>
      </c>
      <c r="F436" t="s">
        <v>27</v>
      </c>
      <c r="G436" t="s">
        <v>25</v>
      </c>
      <c r="H436">
        <v>20</v>
      </c>
      <c r="I436">
        <v>8</v>
      </c>
      <c r="J436">
        <v>0.83</v>
      </c>
      <c r="L436">
        <v>1.02</v>
      </c>
      <c r="O436">
        <v>990</v>
      </c>
      <c r="P436">
        <v>1200</v>
      </c>
      <c r="Q436">
        <v>1800</v>
      </c>
      <c r="R436">
        <v>0.4</v>
      </c>
      <c r="S436">
        <v>1</v>
      </c>
      <c r="T436">
        <v>0.41</v>
      </c>
      <c r="V436">
        <v>15.6</v>
      </c>
      <c r="W436">
        <v>16</v>
      </c>
      <c r="X436" t="s">
        <v>615</v>
      </c>
    </row>
    <row r="437" spans="1:24">
      <c r="A437" t="str">
        <f>Hyperlink("https://www.diodes.com/part/view/DMN2992UFB4Q","DMN2992UFB4Q")</f>
        <v>DMN2992UFB4Q</v>
      </c>
      <c r="B437" t="str">
        <f>Hyperlink("https://www.diodes.com/assets/Datasheets/DMN2992UFB4Q.pdf","DMN2992UFB4Q Datasheet")</f>
        <v>DMN2992UFB4Q Datasheet</v>
      </c>
      <c r="C437" t="s">
        <v>638</v>
      </c>
      <c r="D437" t="s">
        <v>25</v>
      </c>
      <c r="E437" t="s">
        <v>33</v>
      </c>
      <c r="F437" t="s">
        <v>27</v>
      </c>
      <c r="G437" t="s">
        <v>25</v>
      </c>
      <c r="H437">
        <v>20</v>
      </c>
      <c r="I437">
        <v>8</v>
      </c>
      <c r="J437">
        <v>0.83</v>
      </c>
      <c r="L437">
        <v>1.02</v>
      </c>
      <c r="O437">
        <v>990</v>
      </c>
      <c r="P437">
        <v>1200</v>
      </c>
      <c r="Q437">
        <v>1800</v>
      </c>
      <c r="R437">
        <v>0.4</v>
      </c>
      <c r="S437">
        <v>1</v>
      </c>
      <c r="T437">
        <v>0.41</v>
      </c>
      <c r="V437">
        <v>15.6</v>
      </c>
      <c r="W437">
        <v>16</v>
      </c>
      <c r="X437" t="s">
        <v>615</v>
      </c>
    </row>
    <row r="438" spans="1:24">
      <c r="A438" t="str">
        <f>Hyperlink("https://www.diodes.com/part/view/DMN2992UFZ","DMN2992UFZ")</f>
        <v>DMN2992UFZ</v>
      </c>
      <c r="B438" t="str">
        <f>Hyperlink("https://www.diodes.com/assets/Datasheets/DMN2992UFZ.pdf","DMN2992UFZ Datasheet")</f>
        <v>DMN2992UFZ Datasheet</v>
      </c>
      <c r="C438" t="s">
        <v>638</v>
      </c>
      <c r="D438" t="s">
        <v>28</v>
      </c>
      <c r="E438" t="s">
        <v>26</v>
      </c>
      <c r="F438" t="s">
        <v>27</v>
      </c>
      <c r="G438" t="s">
        <v>25</v>
      </c>
      <c r="H438">
        <v>20</v>
      </c>
      <c r="I438">
        <v>8</v>
      </c>
      <c r="J438">
        <v>0.25</v>
      </c>
      <c r="L438">
        <v>0.32</v>
      </c>
      <c r="O438">
        <v>990</v>
      </c>
      <c r="P438">
        <v>1200</v>
      </c>
      <c r="Q438">
        <v>1800</v>
      </c>
      <c r="R438">
        <v>0.4</v>
      </c>
      <c r="S438">
        <v>1</v>
      </c>
      <c r="T438">
        <v>0.41</v>
      </c>
      <c r="V438">
        <v>15.6</v>
      </c>
      <c r="W438">
        <v>16</v>
      </c>
      <c r="X438" t="s">
        <v>651</v>
      </c>
    </row>
    <row r="439" spans="1:24">
      <c r="A439" t="str">
        <f>Hyperlink("https://www.diodes.com/part/view/DMN29M9UFDF","DMN29M9UFDF")</f>
        <v>DMN29M9UFDF</v>
      </c>
      <c r="B439" t="str">
        <f>Hyperlink("https://www.diodes.com/assets/Datasheets/DMN29M9UFDF.pdf","DMN29M9UFDF Datasheet")</f>
        <v>DMN29M9UFDF Datasheet</v>
      </c>
      <c r="C439" t="s">
        <v>616</v>
      </c>
      <c r="D439" t="s">
        <v>28</v>
      </c>
      <c r="E439" t="s">
        <v>26</v>
      </c>
      <c r="F439" t="s">
        <v>27</v>
      </c>
      <c r="G439" t="s">
        <v>25</v>
      </c>
      <c r="H439">
        <v>20</v>
      </c>
      <c r="I439">
        <v>12</v>
      </c>
      <c r="J439">
        <v>11</v>
      </c>
      <c r="L439">
        <v>2</v>
      </c>
      <c r="O439">
        <v>13.5</v>
      </c>
      <c r="P439">
        <v>15.5</v>
      </c>
      <c r="S439">
        <v>1.2</v>
      </c>
      <c r="T439">
        <v>7.3</v>
      </c>
      <c r="U439">
        <v>14.6</v>
      </c>
      <c r="X439" t="s">
        <v>568</v>
      </c>
    </row>
    <row r="440" spans="1:24">
      <c r="A440" t="str">
        <f>Hyperlink("https://www.diodes.com/part/view/DMN3006SCA6","DMN3006SCA6")</f>
        <v>DMN3006SCA6</v>
      </c>
      <c r="B440" t="str">
        <f>Hyperlink("https://www.diodes.com/assets/Datasheets/DMN3006SCA6.pdf","DMN3006SCA6 Datasheet")</f>
        <v>DMN3006SCA6 Datasheet</v>
      </c>
      <c r="C440" t="s">
        <v>24</v>
      </c>
      <c r="D440" t="s">
        <v>28</v>
      </c>
      <c r="E440" t="s">
        <v>26</v>
      </c>
      <c r="F440" t="s">
        <v>35</v>
      </c>
      <c r="G440" t="s">
        <v>25</v>
      </c>
      <c r="H440">
        <v>30</v>
      </c>
      <c r="I440">
        <v>20</v>
      </c>
      <c r="J440">
        <v>13</v>
      </c>
      <c r="L440">
        <v>1.8</v>
      </c>
      <c r="N440">
        <v>5.5</v>
      </c>
      <c r="O440">
        <v>9</v>
      </c>
      <c r="R440">
        <v>1.3</v>
      </c>
      <c r="S440">
        <v>2.2</v>
      </c>
      <c r="T440">
        <v>15</v>
      </c>
      <c r="U440">
        <v>17.7</v>
      </c>
      <c r="V440">
        <v>2235</v>
      </c>
      <c r="W440">
        <v>15</v>
      </c>
      <c r="X440" t="s">
        <v>652</v>
      </c>
    </row>
    <row r="441" spans="1:24">
      <c r="A441" t="str">
        <f>Hyperlink("https://www.diodes.com/part/view/DMN3007LSS","DMN3007LSS")</f>
        <v>DMN3007LSS</v>
      </c>
      <c r="B441" t="str">
        <f>Hyperlink("https://www.diodes.com/assets/Datasheets/ds31460.pdf","DMN3007LSS Datasheet")</f>
        <v>DMN3007LSS Datasheet</v>
      </c>
      <c r="C441" t="s">
        <v>24</v>
      </c>
      <c r="D441" t="s">
        <v>25</v>
      </c>
      <c r="E441" t="s">
        <v>26</v>
      </c>
      <c r="F441" t="s">
        <v>27</v>
      </c>
      <c r="G441" t="s">
        <v>28</v>
      </c>
      <c r="H441">
        <v>30</v>
      </c>
      <c r="I441">
        <v>20</v>
      </c>
      <c r="J441">
        <v>16</v>
      </c>
      <c r="L441">
        <v>2.5</v>
      </c>
      <c r="N441">
        <v>7</v>
      </c>
      <c r="O441">
        <v>10</v>
      </c>
      <c r="S441">
        <v>2.1</v>
      </c>
      <c r="T441">
        <v>31.2</v>
      </c>
      <c r="U441">
        <v>64.2</v>
      </c>
      <c r="V441">
        <v>2714</v>
      </c>
      <c r="X441" t="s">
        <v>155</v>
      </c>
    </row>
    <row r="442" spans="1:24">
      <c r="A442" t="str">
        <f>Hyperlink("https://www.diodes.com/part/view/DMN3007LSSQ","DMN3007LSSQ")</f>
        <v>DMN3007LSSQ</v>
      </c>
      <c r="B442" t="str">
        <f>Hyperlink("https://www.diodes.com/assets/Datasheets/DMN3007LSSQ.pdf","DMN3007LSSQ Datasheet")</f>
        <v>DMN3007LSSQ Datasheet</v>
      </c>
      <c r="C442" t="s">
        <v>653</v>
      </c>
      <c r="D442" t="s">
        <v>25</v>
      </c>
      <c r="E442" t="s">
        <v>33</v>
      </c>
      <c r="F442" t="s">
        <v>27</v>
      </c>
      <c r="G442" t="s">
        <v>28</v>
      </c>
      <c r="H442">
        <v>30</v>
      </c>
      <c r="I442">
        <v>20</v>
      </c>
      <c r="J442">
        <v>16</v>
      </c>
      <c r="L442">
        <v>2.5</v>
      </c>
      <c r="N442">
        <v>7</v>
      </c>
      <c r="O442">
        <v>10</v>
      </c>
      <c r="R442">
        <v>1.3</v>
      </c>
      <c r="S442">
        <v>2.1</v>
      </c>
      <c r="T442">
        <v>31.2</v>
      </c>
      <c r="V442">
        <v>2714</v>
      </c>
      <c r="W442">
        <v>15</v>
      </c>
      <c r="X442" t="s">
        <v>155</v>
      </c>
    </row>
    <row r="443" spans="1:24">
      <c r="A443" t="str">
        <f>Hyperlink("https://www.diodes.com/part/view/DMN3008SCP10","DMN3008SCP10")</f>
        <v>DMN3008SCP10</v>
      </c>
      <c r="B443" t="str">
        <f>Hyperlink("https://www.diodes.com/assets/Datasheets/DMN3008SCP10.pdf","DMN3008SCP10 Datasheet")</f>
        <v>DMN3008SCP10 Datasheet</v>
      </c>
      <c r="C443" t="s">
        <v>504</v>
      </c>
      <c r="D443" t="s">
        <v>28</v>
      </c>
      <c r="E443" t="s">
        <v>26</v>
      </c>
      <c r="F443" t="s">
        <v>35</v>
      </c>
      <c r="G443" t="s">
        <v>25</v>
      </c>
      <c r="H443">
        <v>30</v>
      </c>
      <c r="I443">
        <v>20</v>
      </c>
      <c r="J443">
        <v>14.6</v>
      </c>
      <c r="L443">
        <v>2.7</v>
      </c>
      <c r="N443">
        <v>7.8</v>
      </c>
      <c r="O443">
        <v>11</v>
      </c>
      <c r="S443">
        <v>2.3</v>
      </c>
      <c r="T443">
        <v>15.8</v>
      </c>
      <c r="U443">
        <v>31.3</v>
      </c>
      <c r="V443">
        <v>1476</v>
      </c>
      <c r="W443">
        <v>15</v>
      </c>
      <c r="X443" t="s">
        <v>654</v>
      </c>
    </row>
    <row r="444" spans="1:24">
      <c r="A444" t="str">
        <f>Hyperlink("https://www.diodes.com/part/view/DMN3008SFG","DMN3008SFG")</f>
        <v>DMN3008SFG</v>
      </c>
      <c r="B444" t="str">
        <f>Hyperlink("https://www.diodes.com/assets/Datasheets/DMN3008SFG.pdf","DMN3008SFG Datasheet")</f>
        <v>DMN3008SFG Datasheet</v>
      </c>
      <c r="C444" t="s">
        <v>504</v>
      </c>
      <c r="D444" t="s">
        <v>25</v>
      </c>
      <c r="E444" t="s">
        <v>26</v>
      </c>
      <c r="F444" t="s">
        <v>27</v>
      </c>
      <c r="G444" t="s">
        <v>28</v>
      </c>
      <c r="H444">
        <v>30</v>
      </c>
      <c r="I444">
        <v>20</v>
      </c>
      <c r="J444">
        <v>17.6</v>
      </c>
      <c r="L444">
        <v>2.1</v>
      </c>
      <c r="N444">
        <v>4.4</v>
      </c>
      <c r="O444">
        <v>5.5</v>
      </c>
      <c r="S444">
        <v>2.3</v>
      </c>
      <c r="T444">
        <v>41</v>
      </c>
      <c r="U444">
        <v>86</v>
      </c>
      <c r="V444">
        <v>3690</v>
      </c>
      <c r="X444" t="s">
        <v>529</v>
      </c>
    </row>
    <row r="445" spans="1:24">
      <c r="A445" t="str">
        <f>Hyperlink("https://www.diodes.com/part/view/DMN3008SFGQ","DMN3008SFGQ")</f>
        <v>DMN3008SFGQ</v>
      </c>
      <c r="B445" t="str">
        <f>Hyperlink("https://www.diodes.com/assets/Datasheets/DMN3008SFGQ.pdf","DMN3008SFGQ Datasheet")</f>
        <v>DMN3008SFGQ Datasheet</v>
      </c>
      <c r="C445" t="s">
        <v>504</v>
      </c>
      <c r="D445" t="s">
        <v>25</v>
      </c>
      <c r="E445" t="s">
        <v>33</v>
      </c>
      <c r="F445" t="s">
        <v>27</v>
      </c>
      <c r="G445" t="s">
        <v>28</v>
      </c>
      <c r="H445">
        <v>30</v>
      </c>
      <c r="I445">
        <v>20</v>
      </c>
      <c r="J445">
        <v>17.6</v>
      </c>
      <c r="K445">
        <v>62</v>
      </c>
      <c r="L445">
        <v>2.1</v>
      </c>
      <c r="N445">
        <v>4.4</v>
      </c>
      <c r="O445">
        <v>5.5</v>
      </c>
      <c r="S445">
        <v>2.3</v>
      </c>
      <c r="T445">
        <v>41</v>
      </c>
      <c r="U445">
        <v>86</v>
      </c>
      <c r="V445">
        <v>3690</v>
      </c>
      <c r="W445">
        <v>10</v>
      </c>
      <c r="X445" t="s">
        <v>529</v>
      </c>
    </row>
    <row r="446" spans="1:24">
      <c r="A446" t="str">
        <f>Hyperlink("https://www.diodes.com/part/view/DMN3009LFV","DMN3009LFV")</f>
        <v>DMN3009LFV</v>
      </c>
      <c r="B446" t="str">
        <f>Hyperlink("https://www.diodes.com/assets/Datasheets/DMN3009LFV.pdf","DMN3009LFV Datasheet")</f>
        <v>DMN3009LFV Datasheet</v>
      </c>
      <c r="C446" t="s">
        <v>504</v>
      </c>
      <c r="D446" t="s">
        <v>25</v>
      </c>
      <c r="E446" t="s">
        <v>26</v>
      </c>
      <c r="F446" t="s">
        <v>27</v>
      </c>
      <c r="G446" t="s">
        <v>28</v>
      </c>
      <c r="H446">
        <v>30</v>
      </c>
      <c r="I446">
        <v>20</v>
      </c>
      <c r="K446">
        <v>60</v>
      </c>
      <c r="L446">
        <v>2</v>
      </c>
      <c r="N446">
        <v>5.5</v>
      </c>
      <c r="O446">
        <v>9</v>
      </c>
      <c r="S446">
        <v>3</v>
      </c>
      <c r="T446">
        <v>20</v>
      </c>
      <c r="U446">
        <v>42</v>
      </c>
      <c r="V446">
        <v>2000</v>
      </c>
      <c r="W446">
        <v>15</v>
      </c>
      <c r="X446" t="s">
        <v>570</v>
      </c>
    </row>
    <row r="447" spans="1:24">
      <c r="A447" t="str">
        <f>Hyperlink("https://www.diodes.com/part/view/DMN3009LFVQ","DMN3009LFVQ")</f>
        <v>DMN3009LFVQ</v>
      </c>
      <c r="B447" t="str">
        <f>Hyperlink("https://www.diodes.com/assets/Datasheets/DMN3009LFVQ.pdf","DMN3009LFVQ Datasheet")</f>
        <v>DMN3009LFVQ Datasheet</v>
      </c>
      <c r="C447" t="s">
        <v>504</v>
      </c>
      <c r="D447" t="s">
        <v>25</v>
      </c>
      <c r="E447" t="s">
        <v>33</v>
      </c>
      <c r="F447" t="s">
        <v>27</v>
      </c>
      <c r="G447" t="s">
        <v>28</v>
      </c>
      <c r="H447">
        <v>30</v>
      </c>
      <c r="I447">
        <v>20</v>
      </c>
      <c r="K447">
        <v>70</v>
      </c>
      <c r="L447">
        <v>2</v>
      </c>
      <c r="N447">
        <v>5.5</v>
      </c>
      <c r="O447">
        <v>9</v>
      </c>
      <c r="S447">
        <v>3</v>
      </c>
      <c r="T447">
        <v>20</v>
      </c>
      <c r="U447">
        <v>42</v>
      </c>
      <c r="V447">
        <v>2000</v>
      </c>
      <c r="W447">
        <v>15</v>
      </c>
      <c r="X447" t="s">
        <v>570</v>
      </c>
    </row>
    <row r="448" spans="1:24">
      <c r="A448" t="str">
        <f>Hyperlink("https://www.diodes.com/part/view/DMN3009LFVW","DMN3009LFVW")</f>
        <v>DMN3009LFVW</v>
      </c>
      <c r="B448" t="str">
        <f>Hyperlink("https://www.diodes.com/assets/Datasheets/DMN3009LFVW.pdf","DMN3009LFVW Datasheet")</f>
        <v>DMN3009LFVW Datasheet</v>
      </c>
      <c r="C448" t="s">
        <v>504</v>
      </c>
      <c r="D448" t="s">
        <v>28</v>
      </c>
      <c r="E448" t="s">
        <v>26</v>
      </c>
      <c r="F448" t="s">
        <v>27</v>
      </c>
      <c r="G448" t="s">
        <v>28</v>
      </c>
      <c r="H448">
        <v>30</v>
      </c>
      <c r="I448">
        <v>20</v>
      </c>
      <c r="K448">
        <v>60</v>
      </c>
      <c r="L448">
        <v>2</v>
      </c>
      <c r="N448">
        <v>5</v>
      </c>
      <c r="O448">
        <v>7.4</v>
      </c>
      <c r="S448">
        <v>2.5</v>
      </c>
      <c r="T448">
        <v>20</v>
      </c>
      <c r="U448">
        <v>42</v>
      </c>
      <c r="V448">
        <v>2000</v>
      </c>
      <c r="W448">
        <v>15</v>
      </c>
      <c r="X448" t="s">
        <v>655</v>
      </c>
    </row>
    <row r="449" spans="1:24">
      <c r="A449" t="str">
        <f>Hyperlink("https://www.diodes.com/part/view/DMN3009LFVWQ","DMN3009LFVWQ")</f>
        <v>DMN3009LFVWQ</v>
      </c>
      <c r="B449" t="str">
        <f>Hyperlink("https://www.diodes.com/assets/Datasheets/DMN3009LFVWQ.pdf","DMN3009LFVWQ Datasheet")</f>
        <v>DMN3009LFVWQ Datasheet</v>
      </c>
      <c r="C449" t="s">
        <v>504</v>
      </c>
      <c r="D449" t="s">
        <v>25</v>
      </c>
      <c r="E449" t="s">
        <v>33</v>
      </c>
      <c r="F449" t="s">
        <v>27</v>
      </c>
      <c r="G449" t="s">
        <v>28</v>
      </c>
      <c r="H449">
        <v>30</v>
      </c>
      <c r="I449">
        <v>20</v>
      </c>
      <c r="K449">
        <v>60</v>
      </c>
      <c r="L449">
        <v>2</v>
      </c>
      <c r="N449">
        <v>5</v>
      </c>
      <c r="O449">
        <v>7.4</v>
      </c>
      <c r="S449">
        <v>2.5</v>
      </c>
      <c r="T449">
        <v>20</v>
      </c>
      <c r="U449">
        <v>42</v>
      </c>
      <c r="X449" t="s">
        <v>655</v>
      </c>
    </row>
    <row r="450" spans="1:24">
      <c r="A450" t="str">
        <f>Hyperlink("https://www.diodes.com/part/view/DMN3009SFG","DMN3009SFG")</f>
        <v>DMN3009SFG</v>
      </c>
      <c r="B450" t="str">
        <f>Hyperlink("https://www.diodes.com/assets/Datasheets/DMN3009SFG.pdf","DMN3009SFG Datasheet")</f>
        <v>DMN3009SFG Datasheet</v>
      </c>
      <c r="C450" t="s">
        <v>504</v>
      </c>
      <c r="D450" t="s">
        <v>25</v>
      </c>
      <c r="E450" t="s">
        <v>26</v>
      </c>
      <c r="F450" t="s">
        <v>27</v>
      </c>
      <c r="G450" t="s">
        <v>28</v>
      </c>
      <c r="H450">
        <v>30</v>
      </c>
      <c r="I450">
        <v>20</v>
      </c>
      <c r="J450">
        <v>16</v>
      </c>
      <c r="K450">
        <v>45</v>
      </c>
      <c r="L450">
        <v>2.1</v>
      </c>
      <c r="N450">
        <v>5.5</v>
      </c>
      <c r="O450">
        <v>9</v>
      </c>
      <c r="S450">
        <v>2.5</v>
      </c>
      <c r="T450">
        <v>20</v>
      </c>
      <c r="U450">
        <v>42</v>
      </c>
      <c r="V450">
        <v>2000</v>
      </c>
      <c r="W450">
        <v>15</v>
      </c>
      <c r="X450" t="s">
        <v>529</v>
      </c>
    </row>
    <row r="451" spans="1:24">
      <c r="A451" t="str">
        <f>Hyperlink("https://www.diodes.com/part/view/DMN3009SFGQ","DMN3009SFGQ")</f>
        <v>DMN3009SFGQ</v>
      </c>
      <c r="B451" t="str">
        <f>Hyperlink("https://www.diodes.com/assets/Datasheets/DMN3009SFGQ.pdf","DMN3009SFGQ Datasheet")</f>
        <v>DMN3009SFGQ Datasheet</v>
      </c>
      <c r="C451" t="s">
        <v>504</v>
      </c>
      <c r="D451" t="s">
        <v>25</v>
      </c>
      <c r="E451" t="s">
        <v>33</v>
      </c>
      <c r="F451" t="s">
        <v>27</v>
      </c>
      <c r="G451" t="s">
        <v>28</v>
      </c>
      <c r="H451">
        <v>30</v>
      </c>
      <c r="I451">
        <v>20</v>
      </c>
      <c r="J451">
        <v>16</v>
      </c>
      <c r="K451">
        <v>45</v>
      </c>
      <c r="L451">
        <v>2.1</v>
      </c>
      <c r="N451">
        <v>5.5</v>
      </c>
      <c r="O451">
        <v>9</v>
      </c>
      <c r="S451">
        <v>2.5</v>
      </c>
      <c r="T451">
        <v>20</v>
      </c>
      <c r="U451">
        <v>42</v>
      </c>
      <c r="V451">
        <v>2000</v>
      </c>
      <c r="W451">
        <v>15</v>
      </c>
      <c r="X451" t="s">
        <v>529</v>
      </c>
    </row>
    <row r="452" spans="1:24">
      <c r="A452" t="str">
        <f>Hyperlink("https://www.diodes.com/part/view/DMN3009SK3","DMN3009SK3")</f>
        <v>DMN3009SK3</v>
      </c>
      <c r="B452" t="str">
        <f>Hyperlink("https://www.diodes.com/assets/Datasheets/DMN3009SK3.pdf","DMN3009SK3 Datasheet")</f>
        <v>DMN3009SK3 Datasheet</v>
      </c>
      <c r="C452" t="s">
        <v>504</v>
      </c>
      <c r="D452" t="s">
        <v>25</v>
      </c>
      <c r="E452" t="s">
        <v>26</v>
      </c>
      <c r="F452" t="s">
        <v>27</v>
      </c>
      <c r="G452" t="s">
        <v>28</v>
      </c>
      <c r="H452">
        <v>30</v>
      </c>
      <c r="I452">
        <v>20</v>
      </c>
      <c r="J452">
        <v>20</v>
      </c>
      <c r="K452">
        <v>80</v>
      </c>
      <c r="L452">
        <v>3.4</v>
      </c>
      <c r="M452">
        <v>44</v>
      </c>
      <c r="N452">
        <v>5.5</v>
      </c>
      <c r="O452">
        <v>9</v>
      </c>
      <c r="S452">
        <v>2.5</v>
      </c>
      <c r="T452">
        <v>20</v>
      </c>
      <c r="U452">
        <v>42</v>
      </c>
      <c r="V452">
        <v>2000</v>
      </c>
      <c r="W452">
        <v>15</v>
      </c>
      <c r="X452" t="s">
        <v>507</v>
      </c>
    </row>
    <row r="453" spans="1:24">
      <c r="A453" t="str">
        <f>Hyperlink("https://www.diodes.com/part/view/DMN3009SSS","DMN3009SSS")</f>
        <v>DMN3009SSS</v>
      </c>
      <c r="B453" t="str">
        <f>Hyperlink("https://www.diodes.com/assets/Datasheets/DMN3009SSS.pdf","DMN3009SSS Datasheet")</f>
        <v>DMN3009SSS Datasheet</v>
      </c>
      <c r="C453" t="s">
        <v>504</v>
      </c>
      <c r="D453" t="s">
        <v>28</v>
      </c>
      <c r="E453" t="s">
        <v>26</v>
      </c>
      <c r="F453" t="s">
        <v>27</v>
      </c>
      <c r="G453" t="s">
        <v>28</v>
      </c>
      <c r="H453">
        <v>30</v>
      </c>
      <c r="I453">
        <v>20</v>
      </c>
      <c r="J453">
        <v>15</v>
      </c>
      <c r="L453">
        <v>1.8</v>
      </c>
      <c r="N453">
        <v>5.5</v>
      </c>
      <c r="O453">
        <v>7.5</v>
      </c>
      <c r="S453">
        <v>2.5</v>
      </c>
      <c r="T453">
        <v>20</v>
      </c>
      <c r="U453">
        <v>42</v>
      </c>
      <c r="V453">
        <v>2000</v>
      </c>
      <c r="W453">
        <v>15</v>
      </c>
      <c r="X453" t="s">
        <v>155</v>
      </c>
    </row>
    <row r="454" spans="1:24">
      <c r="A454" t="str">
        <f>Hyperlink("https://www.diodes.com/part/view/DMN3010LFG","DMN3010LFG")</f>
        <v>DMN3010LFG</v>
      </c>
      <c r="B454" t="str">
        <f>Hyperlink("https://www.diodes.com/assets/Datasheets/DMN3010LFG.pdf","DMN3010LFG Datasheet")</f>
        <v>DMN3010LFG Datasheet</v>
      </c>
      <c r="C454" t="s">
        <v>24</v>
      </c>
      <c r="D454" t="s">
        <v>25</v>
      </c>
      <c r="E454" t="s">
        <v>26</v>
      </c>
      <c r="F454" t="s">
        <v>27</v>
      </c>
      <c r="G454" t="s">
        <v>28</v>
      </c>
      <c r="H454">
        <v>30</v>
      </c>
      <c r="I454">
        <v>20</v>
      </c>
      <c r="J454">
        <v>14</v>
      </c>
      <c r="L454">
        <v>2.4</v>
      </c>
      <c r="N454">
        <v>8.5</v>
      </c>
      <c r="O454">
        <v>10.5</v>
      </c>
      <c r="S454">
        <v>2.5</v>
      </c>
      <c r="T454">
        <v>16.1</v>
      </c>
      <c r="U454">
        <v>37</v>
      </c>
      <c r="V454">
        <v>2075</v>
      </c>
      <c r="X454" t="s">
        <v>529</v>
      </c>
    </row>
    <row r="455" spans="1:24">
      <c r="A455" t="str">
        <f>Hyperlink("https://www.diodes.com/part/view/DMN3010LK3","DMN3010LK3")</f>
        <v>DMN3010LK3</v>
      </c>
      <c r="B455" t="str">
        <f>Hyperlink("https://www.diodes.com/assets/Datasheets/DMN3010LK3.pdf","DMN3010LK3 Datasheet")</f>
        <v>DMN3010LK3 Datasheet</v>
      </c>
      <c r="C455" t="s">
        <v>24</v>
      </c>
      <c r="D455" t="s">
        <v>25</v>
      </c>
      <c r="E455" t="s">
        <v>26</v>
      </c>
      <c r="F455" t="s">
        <v>27</v>
      </c>
      <c r="G455" t="s">
        <v>28</v>
      </c>
      <c r="H455">
        <v>30</v>
      </c>
      <c r="I455">
        <v>20</v>
      </c>
      <c r="J455">
        <v>13.1</v>
      </c>
      <c r="L455">
        <v>2.4</v>
      </c>
      <c r="N455">
        <v>9.5</v>
      </c>
      <c r="O455">
        <v>11.5</v>
      </c>
      <c r="S455">
        <v>2.5</v>
      </c>
      <c r="T455">
        <v>16.1</v>
      </c>
      <c r="U455">
        <v>37</v>
      </c>
      <c r="V455">
        <v>2075</v>
      </c>
      <c r="X455" t="s">
        <v>507</v>
      </c>
    </row>
    <row r="456" spans="1:24">
      <c r="A456" t="str">
        <f>Hyperlink("https://www.diodes.com/part/view/DMN3010LSS","DMN3010LSS")</f>
        <v>DMN3010LSS</v>
      </c>
      <c r="B456" t="str">
        <f>Hyperlink("https://www.diodes.com/assets/Datasheets/ds31259.pdf","DMN3010LSS Datasheet")</f>
        <v>DMN3010LSS Datasheet</v>
      </c>
      <c r="C456" t="s">
        <v>24</v>
      </c>
      <c r="D456" t="s">
        <v>25</v>
      </c>
      <c r="E456" t="s">
        <v>26</v>
      </c>
      <c r="F456" t="s">
        <v>27</v>
      </c>
      <c r="G456" t="s">
        <v>28</v>
      </c>
      <c r="H456">
        <v>30</v>
      </c>
      <c r="I456">
        <v>20</v>
      </c>
      <c r="J456">
        <v>16</v>
      </c>
      <c r="L456">
        <v>2.5</v>
      </c>
      <c r="N456">
        <v>9</v>
      </c>
      <c r="O456">
        <v>13</v>
      </c>
      <c r="S456">
        <v>2</v>
      </c>
      <c r="T456">
        <v>22.4</v>
      </c>
      <c r="U456">
        <v>43.7</v>
      </c>
      <c r="V456">
        <v>2096</v>
      </c>
      <c r="X456" t="s">
        <v>155</v>
      </c>
    </row>
    <row r="457" spans="1:24">
      <c r="A457" t="str">
        <f>Hyperlink("https://www.diodes.com/part/view/DMN3011LSS","DMN3011LSS")</f>
        <v>DMN3011LSS</v>
      </c>
      <c r="B457" t="str">
        <f>Hyperlink("https://www.diodes.com/assets/Datasheets/DMN3011LSS.pdf","DMN3011LSS Datasheet")</f>
        <v>DMN3011LSS Datasheet</v>
      </c>
      <c r="C457" t="s">
        <v>653</v>
      </c>
      <c r="D457" t="s">
        <v>28</v>
      </c>
      <c r="E457" t="s">
        <v>26</v>
      </c>
      <c r="F457" t="s">
        <v>27</v>
      </c>
      <c r="G457" t="s">
        <v>28</v>
      </c>
      <c r="H457">
        <v>30</v>
      </c>
      <c r="I457">
        <v>20</v>
      </c>
      <c r="J457">
        <v>11</v>
      </c>
      <c r="L457">
        <v>1.7</v>
      </c>
      <c r="N457">
        <v>10</v>
      </c>
      <c r="O457">
        <v>16</v>
      </c>
      <c r="R457">
        <v>1.4</v>
      </c>
      <c r="S457">
        <v>2.25</v>
      </c>
      <c r="T457">
        <v>10</v>
      </c>
      <c r="U457">
        <v>19.7</v>
      </c>
      <c r="V457">
        <v>1130</v>
      </c>
      <c r="W457">
        <v>15</v>
      </c>
      <c r="X457" t="s">
        <v>155</v>
      </c>
    </row>
    <row r="458" spans="1:24">
      <c r="A458" t="str">
        <f>Hyperlink("https://www.diodes.com/part/view/DMN3011LSSQ","DMN3011LSSQ")</f>
        <v>DMN3011LSSQ</v>
      </c>
      <c r="B458" t="str">
        <f>Hyperlink("https://www.diodes.com/assets/Datasheets/DMN3011LSSQ.pdf","DMN3011LSSQ Datasheet")</f>
        <v>DMN3011LSSQ Datasheet</v>
      </c>
      <c r="C458" t="s">
        <v>653</v>
      </c>
      <c r="D458" t="s">
        <v>25</v>
      </c>
      <c r="E458" t="s">
        <v>33</v>
      </c>
      <c r="F458" t="s">
        <v>27</v>
      </c>
      <c r="G458" t="s">
        <v>28</v>
      </c>
      <c r="H458">
        <v>30</v>
      </c>
      <c r="I458">
        <v>20</v>
      </c>
      <c r="J458">
        <v>11</v>
      </c>
      <c r="L458">
        <v>1.7</v>
      </c>
      <c r="N458">
        <v>10</v>
      </c>
      <c r="O458">
        <v>16</v>
      </c>
      <c r="R458">
        <v>1.4</v>
      </c>
      <c r="S458">
        <v>2.25</v>
      </c>
      <c r="T458">
        <v>10</v>
      </c>
      <c r="U458">
        <v>19.7</v>
      </c>
      <c r="V458">
        <v>1130</v>
      </c>
      <c r="W458">
        <v>15</v>
      </c>
      <c r="X458" t="s">
        <v>155</v>
      </c>
    </row>
    <row r="459" spans="1:24">
      <c r="A459" t="str">
        <f>Hyperlink("https://www.diodes.com/part/view/DMN3012LEG","DMN3012LEG")</f>
        <v>DMN3012LEG</v>
      </c>
      <c r="B459" t="str">
        <f>Hyperlink("https://www.diodes.com/assets/Datasheets/DMN3012LEG.pdf","DMN3012LEG Datasheet")</f>
        <v>DMN3012LEG Datasheet</v>
      </c>
      <c r="C459" t="s">
        <v>656</v>
      </c>
      <c r="D459" t="s">
        <v>28</v>
      </c>
      <c r="E459" t="s">
        <v>26</v>
      </c>
      <c r="F459" t="s">
        <v>35</v>
      </c>
      <c r="G459" t="s">
        <v>28</v>
      </c>
      <c r="H459">
        <v>30</v>
      </c>
      <c r="I459" t="s">
        <v>174</v>
      </c>
      <c r="J459" t="s">
        <v>174</v>
      </c>
      <c r="K459">
        <v>20</v>
      </c>
      <c r="L459">
        <v>2.16</v>
      </c>
      <c r="M459">
        <v>2.2</v>
      </c>
      <c r="O459" t="s">
        <v>657</v>
      </c>
      <c r="S459" t="s">
        <v>658</v>
      </c>
      <c r="T459" t="s">
        <v>659</v>
      </c>
      <c r="V459" t="s">
        <v>660</v>
      </c>
      <c r="X459" t="s">
        <v>661</v>
      </c>
    </row>
    <row r="460" spans="1:24">
      <c r="A460" t="str">
        <f>Hyperlink("https://www.diodes.com/part/view/DMN3012LFG","DMN3012LFG")</f>
        <v>DMN3012LFG</v>
      </c>
      <c r="B460" t="str">
        <f>Hyperlink("https://www.diodes.com/assets/Datasheets/DMN3012LFG.pdf","DMN3012LFG Datasheet")</f>
        <v>DMN3012LFG Datasheet</v>
      </c>
      <c r="C460" t="s">
        <v>662</v>
      </c>
      <c r="D460" t="s">
        <v>28</v>
      </c>
      <c r="E460" t="s">
        <v>26</v>
      </c>
      <c r="F460" t="s">
        <v>35</v>
      </c>
      <c r="G460" t="s">
        <v>28</v>
      </c>
      <c r="H460">
        <v>30</v>
      </c>
      <c r="I460" t="s">
        <v>174</v>
      </c>
      <c r="J460" t="s">
        <v>174</v>
      </c>
      <c r="K460" t="s">
        <v>71</v>
      </c>
      <c r="L460">
        <v>2.16</v>
      </c>
      <c r="M460">
        <v>2.2</v>
      </c>
      <c r="O460" t="s">
        <v>657</v>
      </c>
      <c r="S460" t="s">
        <v>658</v>
      </c>
      <c r="T460" t="s">
        <v>659</v>
      </c>
      <c r="V460" t="s">
        <v>663</v>
      </c>
      <c r="W460">
        <v>15</v>
      </c>
      <c r="X460" t="s">
        <v>661</v>
      </c>
    </row>
    <row r="461" spans="1:24">
      <c r="A461" t="str">
        <f>Hyperlink("https://www.diodes.com/part/view/DMN3013LDG","DMN3013LDG")</f>
        <v>DMN3013LDG</v>
      </c>
      <c r="B461" t="str">
        <f>Hyperlink("https://www.diodes.com/assets/Datasheets/DMN3013LDG.pdf","DMN3013LDG Datasheet")</f>
        <v>DMN3013LDG Datasheet</v>
      </c>
      <c r="C461" t="s">
        <v>656</v>
      </c>
      <c r="D461" t="s">
        <v>28</v>
      </c>
      <c r="E461" t="s">
        <v>26</v>
      </c>
      <c r="F461" t="s">
        <v>35</v>
      </c>
      <c r="G461" t="s">
        <v>25</v>
      </c>
      <c r="H461">
        <v>30</v>
      </c>
      <c r="I461" t="s">
        <v>174</v>
      </c>
      <c r="J461" t="s">
        <v>289</v>
      </c>
      <c r="K461">
        <v>15</v>
      </c>
      <c r="L461">
        <v>2.16</v>
      </c>
      <c r="N461" t="s">
        <v>664</v>
      </c>
      <c r="O461" t="s">
        <v>665</v>
      </c>
      <c r="S461" t="s">
        <v>666</v>
      </c>
      <c r="T461" t="s">
        <v>667</v>
      </c>
      <c r="V461">
        <v>387</v>
      </c>
      <c r="X461" t="s">
        <v>661</v>
      </c>
    </row>
    <row r="462" spans="1:24">
      <c r="A462" t="str">
        <f>Hyperlink("https://www.diodes.com/part/view/DMN3013LFG","DMN3013LFG")</f>
        <v>DMN3013LFG</v>
      </c>
      <c r="B462" t="str">
        <f>Hyperlink("https://www.diodes.com/assets/Datasheets/DMN3013LFG.pdf","DMN3013LFG Datasheet")</f>
        <v>DMN3013LFG Datasheet</v>
      </c>
      <c r="C462" t="s">
        <v>656</v>
      </c>
      <c r="D462" t="s">
        <v>28</v>
      </c>
      <c r="E462" t="s">
        <v>26</v>
      </c>
      <c r="F462" t="s">
        <v>35</v>
      </c>
      <c r="G462" t="s">
        <v>25</v>
      </c>
      <c r="H462">
        <v>30</v>
      </c>
      <c r="I462" t="s">
        <v>174</v>
      </c>
      <c r="J462" t="s">
        <v>289</v>
      </c>
      <c r="K462" t="s">
        <v>273</v>
      </c>
      <c r="L462">
        <v>2.16</v>
      </c>
      <c r="N462" t="s">
        <v>664</v>
      </c>
      <c r="O462" t="s">
        <v>665</v>
      </c>
      <c r="S462" t="s">
        <v>666</v>
      </c>
      <c r="T462" t="s">
        <v>667</v>
      </c>
      <c r="V462">
        <v>387</v>
      </c>
      <c r="X462" t="s">
        <v>661</v>
      </c>
    </row>
    <row r="463" spans="1:24">
      <c r="A463" t="str">
        <f>Hyperlink("https://www.diodes.com/part/view/DMN3015LSD","DMN3015LSD")</f>
        <v>DMN3015LSD</v>
      </c>
      <c r="B463" t="str">
        <f>Hyperlink("https://www.diodes.com/assets/Datasheets/DMN3015LSD.pdf","DMN3015LSD Datasheet")</f>
        <v>DMN3015LSD Datasheet</v>
      </c>
      <c r="C463" t="s">
        <v>34</v>
      </c>
      <c r="D463" t="s">
        <v>25</v>
      </c>
      <c r="E463" t="s">
        <v>26</v>
      </c>
      <c r="F463" t="s">
        <v>35</v>
      </c>
      <c r="G463" t="s">
        <v>28</v>
      </c>
      <c r="H463">
        <v>30</v>
      </c>
      <c r="I463">
        <v>20</v>
      </c>
      <c r="J463">
        <v>8.4</v>
      </c>
      <c r="L463">
        <v>1.6</v>
      </c>
      <c r="N463">
        <v>15</v>
      </c>
      <c r="O463">
        <v>18</v>
      </c>
      <c r="S463">
        <v>2.5</v>
      </c>
      <c r="T463">
        <v>11.3</v>
      </c>
      <c r="U463">
        <v>25.1</v>
      </c>
      <c r="V463">
        <v>1415</v>
      </c>
      <c r="X463" t="s">
        <v>155</v>
      </c>
    </row>
    <row r="464" spans="1:24">
      <c r="A464" t="str">
        <f>Hyperlink("https://www.diodes.com/part/view/DMN3016LDN","DMN3016LDN")</f>
        <v>DMN3016LDN</v>
      </c>
      <c r="B464" t="str">
        <f>Hyperlink("https://www.diodes.com/assets/Datasheets/DMN3016LDN.pdf","DMN3016LDN Datasheet")</f>
        <v>DMN3016LDN Datasheet</v>
      </c>
      <c r="C464" t="s">
        <v>668</v>
      </c>
      <c r="D464" t="s">
        <v>28</v>
      </c>
      <c r="E464" t="s">
        <v>26</v>
      </c>
      <c r="F464" t="s">
        <v>35</v>
      </c>
      <c r="G464" t="s">
        <v>28</v>
      </c>
      <c r="H464">
        <v>30</v>
      </c>
      <c r="I464">
        <v>20</v>
      </c>
      <c r="J464">
        <v>7.3</v>
      </c>
      <c r="L464">
        <v>1.6</v>
      </c>
      <c r="N464">
        <v>20</v>
      </c>
      <c r="O464">
        <v>24</v>
      </c>
      <c r="S464">
        <v>2</v>
      </c>
      <c r="T464">
        <v>11.3</v>
      </c>
      <c r="U464">
        <v>25.1</v>
      </c>
      <c r="V464">
        <v>1415</v>
      </c>
      <c r="W464">
        <v>15</v>
      </c>
      <c r="X464" t="s">
        <v>669</v>
      </c>
    </row>
    <row r="465" spans="1:24">
      <c r="A465" t="str">
        <f>Hyperlink("https://www.diodes.com/part/view/DMN3016LDV","DMN3016LDV")</f>
        <v>DMN3016LDV</v>
      </c>
      <c r="B465" t="str">
        <f>Hyperlink("https://www.diodes.com/assets/Datasheets/DMN3016LDV.pdf","DMN3016LDV Datasheet")</f>
        <v>DMN3016LDV Datasheet</v>
      </c>
      <c r="C465" t="s">
        <v>24</v>
      </c>
      <c r="D465" t="s">
        <v>28</v>
      </c>
      <c r="E465" t="s">
        <v>26</v>
      </c>
      <c r="F465" t="s">
        <v>35</v>
      </c>
      <c r="G465" t="s">
        <v>28</v>
      </c>
      <c r="H465">
        <v>30</v>
      </c>
      <c r="I465">
        <v>20</v>
      </c>
      <c r="K465">
        <v>21</v>
      </c>
      <c r="L465">
        <v>1.8</v>
      </c>
      <c r="N465">
        <v>12</v>
      </c>
      <c r="O465">
        <v>17</v>
      </c>
      <c r="S465">
        <v>2</v>
      </c>
      <c r="T465">
        <v>9.5</v>
      </c>
      <c r="U465">
        <v>21</v>
      </c>
      <c r="V465">
        <v>1184</v>
      </c>
      <c r="W465">
        <v>15</v>
      </c>
      <c r="X465" t="s">
        <v>292</v>
      </c>
    </row>
    <row r="466" spans="1:24">
      <c r="A466" t="str">
        <f>Hyperlink("https://www.diodes.com/part/view/DMN3016LFDE","DMN3016LFDE")</f>
        <v>DMN3016LFDE</v>
      </c>
      <c r="B466" t="str">
        <f>Hyperlink("https://www.diodes.com/assets/Datasheets/DMN3016LFDE.pdf","DMN3016LFDE Datasheet")</f>
        <v>DMN3016LFDE Datasheet</v>
      </c>
      <c r="C466" t="s">
        <v>24</v>
      </c>
      <c r="D466" t="s">
        <v>25</v>
      </c>
      <c r="E466" t="s">
        <v>26</v>
      </c>
      <c r="F466" t="s">
        <v>27</v>
      </c>
      <c r="G466" t="s">
        <v>28</v>
      </c>
      <c r="H466">
        <v>30</v>
      </c>
      <c r="I466">
        <v>20</v>
      </c>
      <c r="J466">
        <v>10</v>
      </c>
      <c r="L466">
        <v>2.02</v>
      </c>
      <c r="N466">
        <v>12</v>
      </c>
      <c r="O466">
        <v>16</v>
      </c>
      <c r="S466">
        <v>2</v>
      </c>
      <c r="T466">
        <v>11.3</v>
      </c>
      <c r="U466">
        <v>25.1</v>
      </c>
      <c r="V466">
        <v>1415</v>
      </c>
      <c r="X466" t="s">
        <v>567</v>
      </c>
    </row>
    <row r="467" spans="1:24">
      <c r="A467" t="str">
        <f>Hyperlink("https://www.diodes.com/part/view/DMN3016LFDF","DMN3016LFDF")</f>
        <v>DMN3016LFDF</v>
      </c>
      <c r="B467" t="str">
        <f>Hyperlink("https://www.diodes.com/assets/Datasheets/DMN3016LFDF.pdf","DMN3016LFDF Datasheet")</f>
        <v>DMN3016LFDF Datasheet</v>
      </c>
      <c r="C467" t="s">
        <v>24</v>
      </c>
      <c r="D467" t="s">
        <v>25</v>
      </c>
      <c r="E467" t="s">
        <v>26</v>
      </c>
      <c r="F467" t="s">
        <v>27</v>
      </c>
      <c r="G467" t="s">
        <v>28</v>
      </c>
      <c r="H467">
        <v>30</v>
      </c>
      <c r="I467">
        <v>20</v>
      </c>
      <c r="J467">
        <v>10</v>
      </c>
      <c r="L467">
        <v>2.02</v>
      </c>
      <c r="N467">
        <v>12</v>
      </c>
      <c r="O467">
        <v>16</v>
      </c>
      <c r="S467">
        <v>2</v>
      </c>
      <c r="T467">
        <v>11.3</v>
      </c>
      <c r="U467">
        <v>25.1</v>
      </c>
      <c r="V467">
        <v>1415</v>
      </c>
      <c r="W467">
        <v>15</v>
      </c>
      <c r="X467" t="s">
        <v>568</v>
      </c>
    </row>
    <row r="468" spans="1:24">
      <c r="A468" t="str">
        <f>Hyperlink("https://www.diodes.com/part/view/DMN3016LFDFQ","DMN3016LFDFQ")</f>
        <v>DMN3016LFDFQ</v>
      </c>
      <c r="B468" t="str">
        <f>Hyperlink("https://www.diodes.com/assets/Datasheets/DMN3016LFDFQ.pdf","DMN3016LFDFQ Datasheet")</f>
        <v>DMN3016LFDFQ Datasheet</v>
      </c>
      <c r="C468" t="s">
        <v>670</v>
      </c>
      <c r="D468" t="s">
        <v>25</v>
      </c>
      <c r="E468" t="s">
        <v>33</v>
      </c>
      <c r="F468" t="s">
        <v>27</v>
      </c>
      <c r="G468" t="s">
        <v>28</v>
      </c>
      <c r="H468">
        <v>30</v>
      </c>
      <c r="I468">
        <v>20</v>
      </c>
      <c r="J468">
        <v>10</v>
      </c>
      <c r="L468">
        <v>2.02</v>
      </c>
      <c r="N468">
        <v>12</v>
      </c>
      <c r="O468">
        <v>16</v>
      </c>
      <c r="S468">
        <v>2</v>
      </c>
      <c r="T468">
        <v>11.3</v>
      </c>
      <c r="U468">
        <v>25.1</v>
      </c>
      <c r="X468" t="s">
        <v>568</v>
      </c>
    </row>
    <row r="469" spans="1:24">
      <c r="A469" t="str">
        <f>Hyperlink("https://www.diodes.com/part/view/DMN3016LK3","DMN3016LK3")</f>
        <v>DMN3016LK3</v>
      </c>
      <c r="B469" t="str">
        <f>Hyperlink("https://www.diodes.com/assets/Datasheets/DMN3016LK3.pdf","DMN3016LK3 Datasheet")</f>
        <v>DMN3016LK3 Datasheet</v>
      </c>
      <c r="C469" t="s">
        <v>24</v>
      </c>
      <c r="D469" t="s">
        <v>25</v>
      </c>
      <c r="E469" t="s">
        <v>26</v>
      </c>
      <c r="F469" t="s">
        <v>27</v>
      </c>
      <c r="G469" t="s">
        <v>28</v>
      </c>
      <c r="H469">
        <v>30</v>
      </c>
      <c r="I469">
        <v>20</v>
      </c>
      <c r="J469">
        <v>12.4</v>
      </c>
      <c r="L469">
        <v>2.8</v>
      </c>
      <c r="N469">
        <v>12</v>
      </c>
      <c r="O469">
        <v>16</v>
      </c>
      <c r="S469">
        <v>2.3</v>
      </c>
      <c r="T469">
        <v>11.3</v>
      </c>
      <c r="U469">
        <v>25.1</v>
      </c>
      <c r="V469">
        <v>1415</v>
      </c>
      <c r="X469" t="s">
        <v>507</v>
      </c>
    </row>
    <row r="470" spans="1:24">
      <c r="A470" t="str">
        <f>Hyperlink("https://www.diodes.com/part/view/DMN3016LPS","DMN3016LPS")</f>
        <v>DMN3016LPS</v>
      </c>
      <c r="B470" t="str">
        <f>Hyperlink("https://www.diodes.com/assets/Datasheets/DMN3016LPS.pdf","DMN3016LPS Datasheet")</f>
        <v>DMN3016LPS Datasheet</v>
      </c>
      <c r="C470" t="s">
        <v>504</v>
      </c>
      <c r="D470" t="s">
        <v>25</v>
      </c>
      <c r="E470" t="s">
        <v>26</v>
      </c>
      <c r="F470" t="s">
        <v>27</v>
      </c>
      <c r="G470" t="s">
        <v>28</v>
      </c>
      <c r="H470">
        <v>30</v>
      </c>
      <c r="I470">
        <v>20</v>
      </c>
      <c r="J470">
        <v>10.8</v>
      </c>
      <c r="L470">
        <v>2.75</v>
      </c>
      <c r="N470">
        <v>12</v>
      </c>
      <c r="O470">
        <v>16</v>
      </c>
      <c r="S470">
        <v>2</v>
      </c>
      <c r="T470">
        <v>11.3</v>
      </c>
      <c r="U470">
        <v>25.1</v>
      </c>
      <c r="V470">
        <v>1415</v>
      </c>
      <c r="W470">
        <v>15</v>
      </c>
      <c r="X470" t="s">
        <v>617</v>
      </c>
    </row>
    <row r="471" spans="1:24">
      <c r="A471" t="str">
        <f>Hyperlink("https://www.diodes.com/part/view/DMN3016LSS","DMN3016LSS")</f>
        <v>DMN3016LSS</v>
      </c>
      <c r="B471" t="str">
        <f>Hyperlink("https://www.diodes.com/assets/Datasheets/DMN3016LSS.pdf","DMN3016LSS Datasheet")</f>
        <v>DMN3016LSS Datasheet</v>
      </c>
      <c r="C471" t="s">
        <v>24</v>
      </c>
      <c r="D471" t="s">
        <v>25</v>
      </c>
      <c r="E471" t="s">
        <v>26</v>
      </c>
      <c r="F471" t="s">
        <v>27</v>
      </c>
      <c r="G471" t="s">
        <v>28</v>
      </c>
      <c r="H471">
        <v>30</v>
      </c>
      <c r="I471">
        <v>20</v>
      </c>
      <c r="J471">
        <v>10.3</v>
      </c>
      <c r="L471">
        <v>2</v>
      </c>
      <c r="N471">
        <v>12</v>
      </c>
      <c r="O471">
        <v>16</v>
      </c>
      <c r="S471">
        <v>2.5</v>
      </c>
      <c r="T471">
        <v>11.3</v>
      </c>
      <c r="U471">
        <v>25.1</v>
      </c>
      <c r="V471">
        <v>1415</v>
      </c>
      <c r="X471" t="s">
        <v>155</v>
      </c>
    </row>
    <row r="472" spans="1:24">
      <c r="A472" t="str">
        <f>Hyperlink("https://www.diodes.com/part/view/DMN3018SFG","DMN3018SFG")</f>
        <v>DMN3018SFG</v>
      </c>
      <c r="B472" t="str">
        <f>Hyperlink("https://www.diodes.com/assets/Datasheets/DMN3018SFG.pdf","DMN3018SFG Datasheet")</f>
        <v>DMN3018SFG Datasheet</v>
      </c>
      <c r="C472" t="s">
        <v>504</v>
      </c>
      <c r="D472" t="s">
        <v>25</v>
      </c>
      <c r="E472" t="s">
        <v>26</v>
      </c>
      <c r="F472" t="s">
        <v>27</v>
      </c>
      <c r="G472" t="s">
        <v>25</v>
      </c>
      <c r="H472">
        <v>30</v>
      </c>
      <c r="I472">
        <v>25</v>
      </c>
      <c r="J472">
        <v>8.5</v>
      </c>
      <c r="L472">
        <v>2.2</v>
      </c>
      <c r="N472">
        <v>21</v>
      </c>
      <c r="O472">
        <v>35</v>
      </c>
      <c r="S472">
        <v>2.1</v>
      </c>
      <c r="T472">
        <v>6</v>
      </c>
      <c r="U472">
        <v>13.2</v>
      </c>
      <c r="V472">
        <v>697</v>
      </c>
      <c r="X472" t="s">
        <v>529</v>
      </c>
    </row>
    <row r="473" spans="1:24">
      <c r="A473" t="str">
        <f>Hyperlink("https://www.diodes.com/part/view/DMN3018SSD","DMN3018SSD")</f>
        <v>DMN3018SSD</v>
      </c>
      <c r="B473" t="str">
        <f>Hyperlink("https://www.diodes.com/assets/Datasheets/DMN3018SSD.pdf","DMN3018SSD Datasheet")</f>
        <v>DMN3018SSD Datasheet</v>
      </c>
      <c r="C473" t="s">
        <v>34</v>
      </c>
      <c r="D473" t="s">
        <v>25</v>
      </c>
      <c r="E473" t="s">
        <v>26</v>
      </c>
      <c r="F473" t="s">
        <v>35</v>
      </c>
      <c r="G473" t="s">
        <v>25</v>
      </c>
      <c r="H473">
        <v>30</v>
      </c>
      <c r="I473">
        <v>20</v>
      </c>
      <c r="J473">
        <v>6.7</v>
      </c>
      <c r="L473">
        <v>1.5</v>
      </c>
      <c r="N473">
        <v>22</v>
      </c>
      <c r="O473">
        <v>30</v>
      </c>
      <c r="S473">
        <v>2.1</v>
      </c>
      <c r="T473">
        <v>6</v>
      </c>
      <c r="U473">
        <v>13.2</v>
      </c>
      <c r="V473">
        <v>697</v>
      </c>
      <c r="X473" t="s">
        <v>155</v>
      </c>
    </row>
    <row r="474" spans="1:24">
      <c r="A474" t="str">
        <f>Hyperlink("https://www.diodes.com/part/view/DMN3018SSS","DMN3018SSS")</f>
        <v>DMN3018SSS</v>
      </c>
      <c r="B474" t="str">
        <f>Hyperlink("https://www.diodes.com/assets/Datasheets/DMN3018SSS.pdf","DMN3018SSS Datasheet")</f>
        <v>DMN3018SSS Datasheet</v>
      </c>
      <c r="C474" t="s">
        <v>24</v>
      </c>
      <c r="D474" t="s">
        <v>25</v>
      </c>
      <c r="E474" t="s">
        <v>26</v>
      </c>
      <c r="F474" t="s">
        <v>27</v>
      </c>
      <c r="G474" t="s">
        <v>25</v>
      </c>
      <c r="H474">
        <v>30</v>
      </c>
      <c r="I474">
        <v>25</v>
      </c>
      <c r="J474">
        <v>7.3</v>
      </c>
      <c r="L474">
        <v>1.7</v>
      </c>
      <c r="N474">
        <v>21</v>
      </c>
      <c r="O474">
        <v>35</v>
      </c>
      <c r="S474">
        <v>2.1</v>
      </c>
      <c r="T474">
        <v>6</v>
      </c>
      <c r="U474">
        <v>13.2</v>
      </c>
      <c r="V474">
        <v>697</v>
      </c>
      <c r="X474" t="s">
        <v>155</v>
      </c>
    </row>
    <row r="475" spans="1:24">
      <c r="A475" t="str">
        <f>Hyperlink("https://www.diodes.com/part/view/DMN3020UFDF","DMN3020UFDF")</f>
        <v>DMN3020UFDF</v>
      </c>
      <c r="B475" t="str">
        <f>Hyperlink("https://www.diodes.com/assets/Datasheets/DMN3020UFDF.pdf","DMN3020UFDF Datasheet")</f>
        <v>DMN3020UFDF Datasheet</v>
      </c>
      <c r="C475" t="s">
        <v>504</v>
      </c>
      <c r="D475" t="s">
        <v>25</v>
      </c>
      <c r="E475" t="s">
        <v>26</v>
      </c>
      <c r="F475" t="s">
        <v>27</v>
      </c>
      <c r="G475" t="s">
        <v>25</v>
      </c>
      <c r="H475">
        <v>30</v>
      </c>
      <c r="I475">
        <v>12</v>
      </c>
      <c r="J475">
        <v>10.4</v>
      </c>
      <c r="K475">
        <v>15</v>
      </c>
      <c r="L475">
        <v>2.03</v>
      </c>
      <c r="O475">
        <v>19</v>
      </c>
      <c r="P475">
        <v>25</v>
      </c>
      <c r="Q475">
        <v>40</v>
      </c>
      <c r="S475">
        <v>1</v>
      </c>
      <c r="T475">
        <v>15</v>
      </c>
      <c r="U475" t="s">
        <v>671</v>
      </c>
      <c r="V475">
        <v>1304</v>
      </c>
      <c r="W475">
        <v>15</v>
      </c>
      <c r="X475" t="s">
        <v>568</v>
      </c>
    </row>
    <row r="476" spans="1:24">
      <c r="A476" t="str">
        <f>Hyperlink("https://www.diodes.com/part/view/DMN3020UFDFQ","DMN3020UFDFQ")</f>
        <v>DMN3020UFDFQ</v>
      </c>
      <c r="B476" t="str">
        <f>Hyperlink("https://www.diodes.com/assets/Datasheets/DMN3020UFDFQ.pdf","DMN3020UFDFQ Datasheet")</f>
        <v>DMN3020UFDFQ Datasheet</v>
      </c>
      <c r="C476" t="s">
        <v>504</v>
      </c>
      <c r="D476" t="s">
        <v>25</v>
      </c>
      <c r="E476" t="s">
        <v>33</v>
      </c>
      <c r="F476" t="s">
        <v>27</v>
      </c>
      <c r="G476" t="s">
        <v>25</v>
      </c>
      <c r="H476">
        <v>30</v>
      </c>
      <c r="I476">
        <v>12</v>
      </c>
      <c r="J476">
        <v>10.4</v>
      </c>
      <c r="K476">
        <v>15</v>
      </c>
      <c r="L476">
        <v>2.03</v>
      </c>
      <c r="O476">
        <v>19</v>
      </c>
      <c r="P476">
        <v>25</v>
      </c>
      <c r="Q476">
        <v>40</v>
      </c>
      <c r="R476">
        <v>0.4</v>
      </c>
      <c r="S476">
        <v>1</v>
      </c>
      <c r="T476">
        <v>15</v>
      </c>
      <c r="U476" t="s">
        <v>671</v>
      </c>
      <c r="V476">
        <v>1304</v>
      </c>
      <c r="W476">
        <v>15</v>
      </c>
      <c r="X476" t="s">
        <v>568</v>
      </c>
    </row>
    <row r="477" spans="1:24">
      <c r="A477" t="str">
        <f>Hyperlink("https://www.diodes.com/part/view/DMN3020UTS","DMN3020UTS")</f>
        <v>DMN3020UTS</v>
      </c>
      <c r="B477" t="str">
        <f>Hyperlink("https://www.diodes.com/assets/Datasheets/DMN3020UTS.pdf","DMN3020UTS Datasheet")</f>
        <v>DMN3020UTS Datasheet</v>
      </c>
      <c r="C477" t="s">
        <v>24</v>
      </c>
      <c r="D477" t="s">
        <v>25</v>
      </c>
      <c r="E477" t="s">
        <v>26</v>
      </c>
      <c r="F477" t="s">
        <v>27</v>
      </c>
      <c r="G477" t="s">
        <v>25</v>
      </c>
      <c r="H477">
        <v>30</v>
      </c>
      <c r="I477">
        <v>12</v>
      </c>
      <c r="J477">
        <v>6.8</v>
      </c>
      <c r="L477">
        <v>1.4</v>
      </c>
      <c r="O477">
        <v>20</v>
      </c>
      <c r="P477">
        <v>25</v>
      </c>
      <c r="Q477">
        <v>50</v>
      </c>
      <c r="S477">
        <v>1</v>
      </c>
      <c r="T477">
        <v>15</v>
      </c>
      <c r="U477" t="s">
        <v>671</v>
      </c>
      <c r="V477">
        <v>1304</v>
      </c>
      <c r="W477">
        <v>15</v>
      </c>
      <c r="X477" t="s">
        <v>528</v>
      </c>
    </row>
    <row r="478" spans="1:24">
      <c r="A478" t="str">
        <f>Hyperlink("https://www.diodes.com/part/view/DMN3021LFDF","DMN3021LFDF")</f>
        <v>DMN3021LFDF</v>
      </c>
      <c r="B478" t="str">
        <f>Hyperlink("https://www.diodes.com/assets/Datasheets/DMN3021LFDF.pdf","DMN3021LFDF Datasheet")</f>
        <v>DMN3021LFDF Datasheet</v>
      </c>
      <c r="C478" t="s">
        <v>504</v>
      </c>
      <c r="D478" t="s">
        <v>25</v>
      </c>
      <c r="E478" t="s">
        <v>26</v>
      </c>
      <c r="F478" t="s">
        <v>27</v>
      </c>
      <c r="G478" t="s">
        <v>28</v>
      </c>
      <c r="H478">
        <v>30</v>
      </c>
      <c r="I478">
        <v>20</v>
      </c>
      <c r="J478">
        <v>9.3</v>
      </c>
      <c r="L478">
        <v>2.03</v>
      </c>
      <c r="N478">
        <v>15</v>
      </c>
      <c r="O478">
        <v>20</v>
      </c>
      <c r="S478">
        <v>2.2</v>
      </c>
      <c r="T478">
        <v>6.7</v>
      </c>
      <c r="U478">
        <v>14</v>
      </c>
      <c r="V478">
        <v>706</v>
      </c>
      <c r="W478">
        <v>15</v>
      </c>
      <c r="X478" t="s">
        <v>568</v>
      </c>
    </row>
    <row r="479" spans="1:24">
      <c r="A479" t="str">
        <f>Hyperlink("https://www.diodes.com/part/view/DMN3022LDG","DMN3022LDG")</f>
        <v>DMN3022LDG</v>
      </c>
      <c r="B479" t="str">
        <f>Hyperlink("https://www.diodes.com/assets/Datasheets/DMN3022LDG.pdf","DMN3022LDG Datasheet")</f>
        <v>DMN3022LDG Datasheet</v>
      </c>
      <c r="C479" t="s">
        <v>656</v>
      </c>
      <c r="D479" t="s">
        <v>28</v>
      </c>
      <c r="E479" t="s">
        <v>26</v>
      </c>
      <c r="F479" t="s">
        <v>35</v>
      </c>
      <c r="G479" t="s">
        <v>28</v>
      </c>
      <c r="H479">
        <v>30</v>
      </c>
      <c r="I479">
        <v>10</v>
      </c>
      <c r="J479">
        <v>7.6</v>
      </c>
      <c r="K479">
        <v>15</v>
      </c>
      <c r="L479">
        <v>1.96</v>
      </c>
      <c r="O479" t="s">
        <v>672</v>
      </c>
      <c r="S479" t="s">
        <v>673</v>
      </c>
      <c r="T479" t="s">
        <v>674</v>
      </c>
      <c r="V479" t="s">
        <v>675</v>
      </c>
      <c r="X479" t="s">
        <v>661</v>
      </c>
    </row>
    <row r="480" spans="1:24">
      <c r="A480" t="str">
        <f>Hyperlink("https://www.diodes.com/part/view/DMN3022LFG","DMN3022LFG")</f>
        <v>DMN3022LFG</v>
      </c>
      <c r="B480" t="str">
        <f>Hyperlink("https://www.diodes.com/assets/Datasheets/DMN3022LFG.pdf","DMN3022LFG Datasheet")</f>
        <v>DMN3022LFG Datasheet</v>
      </c>
      <c r="C480" t="s">
        <v>656</v>
      </c>
      <c r="D480" t="s">
        <v>28</v>
      </c>
      <c r="E480" t="s">
        <v>26</v>
      </c>
      <c r="F480" t="s">
        <v>35</v>
      </c>
      <c r="G480" t="s">
        <v>28</v>
      </c>
      <c r="H480">
        <v>30</v>
      </c>
      <c r="I480">
        <v>10</v>
      </c>
      <c r="J480">
        <v>7.6</v>
      </c>
      <c r="K480">
        <v>15</v>
      </c>
      <c r="L480">
        <v>1.96</v>
      </c>
      <c r="O480" t="s">
        <v>672</v>
      </c>
      <c r="S480" t="s">
        <v>673</v>
      </c>
      <c r="T480" t="s">
        <v>674</v>
      </c>
      <c r="V480" t="s">
        <v>675</v>
      </c>
      <c r="X480" t="s">
        <v>661</v>
      </c>
    </row>
    <row r="481" spans="1:24">
      <c r="A481" t="str">
        <f>Hyperlink("https://www.diodes.com/part/view/DMN3023L","DMN3023L")</f>
        <v>DMN3023L</v>
      </c>
      <c r="B481" t="str">
        <f>Hyperlink("https://www.diodes.com/assets/Datasheets/DMN3023L.pdf","DMN3023L Datasheet")</f>
        <v>DMN3023L Datasheet</v>
      </c>
      <c r="C481" t="s">
        <v>24</v>
      </c>
      <c r="D481" t="s">
        <v>25</v>
      </c>
      <c r="E481" t="s">
        <v>26</v>
      </c>
      <c r="F481" t="s">
        <v>27</v>
      </c>
      <c r="G481" t="s">
        <v>25</v>
      </c>
      <c r="H481">
        <v>30</v>
      </c>
      <c r="I481">
        <v>20</v>
      </c>
      <c r="J481">
        <v>6.2</v>
      </c>
      <c r="L481">
        <v>1.3</v>
      </c>
      <c r="N481">
        <v>25</v>
      </c>
      <c r="O481">
        <v>28</v>
      </c>
      <c r="P481">
        <v>68</v>
      </c>
      <c r="S481">
        <v>1.8</v>
      </c>
      <c r="T481">
        <v>8.3</v>
      </c>
      <c r="U481">
        <v>18.4</v>
      </c>
      <c r="V481">
        <v>873</v>
      </c>
      <c r="W481">
        <v>15</v>
      </c>
      <c r="X481" t="s">
        <v>32</v>
      </c>
    </row>
    <row r="482" spans="1:24">
      <c r="A482" t="str">
        <f>Hyperlink("https://www.diodes.com/part/view/DMN3024LK3","DMN3024LK3")</f>
        <v>DMN3024LK3</v>
      </c>
      <c r="B482" t="str">
        <f>Hyperlink("https://www.diodes.com/assets/Datasheets/DMN3024LK3.pdf","DMN3024LK3 Datasheet")</f>
        <v>DMN3024LK3 Datasheet</v>
      </c>
      <c r="C482" t="s">
        <v>24</v>
      </c>
      <c r="D482" t="s">
        <v>25</v>
      </c>
      <c r="E482" t="s">
        <v>26</v>
      </c>
      <c r="F482" t="s">
        <v>27</v>
      </c>
      <c r="G482" t="s">
        <v>28</v>
      </c>
      <c r="H482">
        <v>30</v>
      </c>
      <c r="I482">
        <v>20</v>
      </c>
      <c r="J482">
        <v>14.4</v>
      </c>
      <c r="L482">
        <v>4.1</v>
      </c>
      <c r="N482">
        <v>24</v>
      </c>
      <c r="O482">
        <v>39</v>
      </c>
      <c r="S482">
        <v>3</v>
      </c>
      <c r="T482">
        <v>6.3</v>
      </c>
      <c r="U482">
        <v>12.9</v>
      </c>
      <c r="V482">
        <v>608</v>
      </c>
      <c r="X482" t="s">
        <v>507</v>
      </c>
    </row>
    <row r="483" spans="1:24">
      <c r="A483" t="str">
        <f>Hyperlink("https://www.diodes.com/part/view/DMN3024LSD","DMN3024LSD")</f>
        <v>DMN3024LSD</v>
      </c>
      <c r="B483" t="str">
        <f>Hyperlink("https://www.diodes.com/assets/Datasheets/DMN3024LSD.pdf","DMN3024LSD Datasheet")</f>
        <v>DMN3024LSD Datasheet</v>
      </c>
      <c r="C483" t="s">
        <v>34</v>
      </c>
      <c r="D483" t="s">
        <v>25</v>
      </c>
      <c r="E483" t="s">
        <v>26</v>
      </c>
      <c r="F483" t="s">
        <v>35</v>
      </c>
      <c r="G483" t="s">
        <v>28</v>
      </c>
      <c r="H483">
        <v>30</v>
      </c>
      <c r="I483">
        <v>20</v>
      </c>
      <c r="J483">
        <v>7.2</v>
      </c>
      <c r="L483">
        <v>1.8</v>
      </c>
      <c r="N483">
        <v>24</v>
      </c>
      <c r="O483">
        <v>36</v>
      </c>
      <c r="S483">
        <v>3</v>
      </c>
      <c r="T483">
        <v>6.3</v>
      </c>
      <c r="U483">
        <v>12.9</v>
      </c>
      <c r="V483">
        <v>608</v>
      </c>
      <c r="X483" t="s">
        <v>155</v>
      </c>
    </row>
    <row r="484" spans="1:24">
      <c r="A484" t="str">
        <f>Hyperlink("https://www.diodes.com/part/view/DMN3024LSS","DMN3024LSS")</f>
        <v>DMN3024LSS</v>
      </c>
      <c r="B484" t="str">
        <f>Hyperlink("https://www.diodes.com/assets/Datasheets/DMN3024LSS.pdf","DMN3024LSS Datasheet")</f>
        <v>DMN3024LSS Datasheet</v>
      </c>
      <c r="C484" t="s">
        <v>24</v>
      </c>
      <c r="D484" t="s">
        <v>25</v>
      </c>
      <c r="E484" t="s">
        <v>26</v>
      </c>
      <c r="F484" t="s">
        <v>27</v>
      </c>
      <c r="G484" t="s">
        <v>28</v>
      </c>
      <c r="H484">
        <v>30</v>
      </c>
      <c r="I484">
        <v>20</v>
      </c>
      <c r="J484">
        <v>8.5</v>
      </c>
      <c r="L484">
        <v>1.6</v>
      </c>
      <c r="N484">
        <v>24</v>
      </c>
      <c r="O484">
        <v>36</v>
      </c>
      <c r="S484">
        <v>3</v>
      </c>
      <c r="T484">
        <v>6.3</v>
      </c>
      <c r="U484">
        <v>12.9</v>
      </c>
      <c r="V484">
        <v>608</v>
      </c>
      <c r="X484" t="s">
        <v>155</v>
      </c>
    </row>
    <row r="485" spans="1:24">
      <c r="A485" t="str">
        <f>Hyperlink("https://www.diodes.com/part/view/DMN3024SFG","DMN3024SFG")</f>
        <v>DMN3024SFG</v>
      </c>
      <c r="B485" t="str">
        <f>Hyperlink("https://www.diodes.com/assets/Datasheets/DMN3024SFG.pdf","DMN3024SFG Datasheet")</f>
        <v>DMN3024SFG Datasheet</v>
      </c>
      <c r="C485" t="s">
        <v>504</v>
      </c>
      <c r="D485" t="s">
        <v>25</v>
      </c>
      <c r="E485" t="s">
        <v>26</v>
      </c>
      <c r="F485" t="s">
        <v>27</v>
      </c>
      <c r="G485" t="s">
        <v>28</v>
      </c>
      <c r="H485">
        <v>30</v>
      </c>
      <c r="I485">
        <v>25</v>
      </c>
      <c r="J485">
        <v>7.5</v>
      </c>
      <c r="L485">
        <v>2.2</v>
      </c>
      <c r="N485">
        <v>23</v>
      </c>
      <c r="O485">
        <v>33</v>
      </c>
      <c r="S485">
        <v>2.4</v>
      </c>
      <c r="T485">
        <v>5</v>
      </c>
      <c r="U485">
        <v>10.5</v>
      </c>
      <c r="V485">
        <v>479</v>
      </c>
      <c r="X485" t="s">
        <v>529</v>
      </c>
    </row>
    <row r="486" spans="1:24">
      <c r="A486" t="str">
        <f>Hyperlink("https://www.diodes.com/part/view/DMN3025LFDF","DMN3025LFDF")</f>
        <v>DMN3025LFDF</v>
      </c>
      <c r="B486" t="str">
        <f>Hyperlink("https://www.diodes.com/assets/Datasheets/DMN3025LFDF.pdf","DMN3025LFDF Datasheet")</f>
        <v>DMN3025LFDF Datasheet</v>
      </c>
      <c r="C486" t="s">
        <v>504</v>
      </c>
      <c r="D486" t="s">
        <v>25</v>
      </c>
      <c r="E486" t="s">
        <v>26</v>
      </c>
      <c r="F486" t="s">
        <v>27</v>
      </c>
      <c r="G486" t="s">
        <v>28</v>
      </c>
      <c r="H486">
        <v>30</v>
      </c>
      <c r="I486">
        <v>20</v>
      </c>
      <c r="J486">
        <v>8.3</v>
      </c>
      <c r="L486">
        <v>2.1</v>
      </c>
      <c r="N486">
        <v>20.5</v>
      </c>
      <c r="O486">
        <v>30</v>
      </c>
      <c r="S486">
        <v>2</v>
      </c>
      <c r="T486">
        <v>6</v>
      </c>
      <c r="U486">
        <v>13.2</v>
      </c>
      <c r="V486">
        <v>641</v>
      </c>
      <c r="W486">
        <v>15</v>
      </c>
      <c r="X486" t="s">
        <v>568</v>
      </c>
    </row>
    <row r="487" spans="1:24">
      <c r="A487" t="str">
        <f>Hyperlink("https://www.diodes.com/part/view/DMN3025LFG","DMN3025LFG")</f>
        <v>DMN3025LFG</v>
      </c>
      <c r="B487" t="str">
        <f>Hyperlink("https://www.diodes.com/assets/Datasheets/DMN3025LFG.pdf","DMN3025LFG Datasheet")</f>
        <v>DMN3025LFG Datasheet</v>
      </c>
      <c r="C487" t="s">
        <v>504</v>
      </c>
      <c r="D487" t="s">
        <v>25</v>
      </c>
      <c r="E487" t="s">
        <v>26</v>
      </c>
      <c r="F487" t="s">
        <v>27</v>
      </c>
      <c r="G487" t="s">
        <v>28</v>
      </c>
      <c r="H487">
        <v>30</v>
      </c>
      <c r="I487">
        <v>20</v>
      </c>
      <c r="J487">
        <v>7.5</v>
      </c>
      <c r="L487">
        <v>2</v>
      </c>
      <c r="N487">
        <v>18</v>
      </c>
      <c r="O487">
        <v>28</v>
      </c>
      <c r="S487">
        <v>2</v>
      </c>
      <c r="T487">
        <v>5.3</v>
      </c>
      <c r="U487">
        <v>11.6</v>
      </c>
      <c r="V487">
        <v>605</v>
      </c>
      <c r="X487" t="s">
        <v>529</v>
      </c>
    </row>
    <row r="488" spans="1:24">
      <c r="A488" t="str">
        <f>Hyperlink("https://www.diodes.com/part/view/DMN3025LFV","DMN3025LFV")</f>
        <v>DMN3025LFV</v>
      </c>
      <c r="B488" t="str">
        <f>Hyperlink("https://www.diodes.com/assets/Datasheets/DMN3025LFV.pdf","DMN3025LFV Datasheet")</f>
        <v>DMN3025LFV Datasheet</v>
      </c>
      <c r="C488" t="s">
        <v>504</v>
      </c>
      <c r="D488" t="s">
        <v>28</v>
      </c>
      <c r="E488" t="s">
        <v>26</v>
      </c>
      <c r="F488" t="s">
        <v>27</v>
      </c>
      <c r="G488" t="s">
        <v>28</v>
      </c>
      <c r="H488">
        <v>30</v>
      </c>
      <c r="I488">
        <v>20</v>
      </c>
      <c r="K488">
        <v>25</v>
      </c>
      <c r="L488">
        <v>2.2</v>
      </c>
      <c r="N488">
        <v>18</v>
      </c>
      <c r="O488">
        <v>30</v>
      </c>
      <c r="S488">
        <v>2</v>
      </c>
      <c r="T488">
        <v>4.6</v>
      </c>
      <c r="U488">
        <v>9.8</v>
      </c>
      <c r="V488">
        <v>500</v>
      </c>
      <c r="W488">
        <v>15</v>
      </c>
      <c r="X488" t="s">
        <v>570</v>
      </c>
    </row>
    <row r="489" spans="1:24">
      <c r="A489" t="str">
        <f>Hyperlink("https://www.diodes.com/part/view/DMN3025LSS","DMN3025LSS")</f>
        <v>DMN3025LSS</v>
      </c>
      <c r="B489" t="str">
        <f>Hyperlink("https://www.diodes.com/assets/Datasheets/DMN3025LSS.pdf","DMN3025LSS Datasheet")</f>
        <v>DMN3025LSS Datasheet</v>
      </c>
      <c r="C489" t="s">
        <v>24</v>
      </c>
      <c r="D489" t="s">
        <v>25</v>
      </c>
      <c r="E489" t="s">
        <v>26</v>
      </c>
      <c r="F489" t="s">
        <v>27</v>
      </c>
      <c r="G489" t="s">
        <v>28</v>
      </c>
      <c r="H489">
        <v>30</v>
      </c>
      <c r="I489">
        <v>20</v>
      </c>
      <c r="J489">
        <v>7.2</v>
      </c>
      <c r="L489">
        <v>1.7</v>
      </c>
      <c r="N489">
        <v>20</v>
      </c>
      <c r="O489">
        <v>31</v>
      </c>
      <c r="S489">
        <v>2</v>
      </c>
      <c r="T489">
        <v>6</v>
      </c>
      <c r="U489">
        <v>13.2</v>
      </c>
      <c r="V489">
        <v>641</v>
      </c>
      <c r="X489" t="s">
        <v>155</v>
      </c>
    </row>
    <row r="490" spans="1:24">
      <c r="A490" t="str">
        <f>Hyperlink("https://www.diodes.com/part/view/DMN3026LVT","DMN3026LVT")</f>
        <v>DMN3026LVT</v>
      </c>
      <c r="B490" t="str">
        <f>Hyperlink("https://www.diodes.com/assets/Datasheets/DMN3026LVT.pdf","DMN3026LVT Datasheet")</f>
        <v>DMN3026LVT Datasheet</v>
      </c>
      <c r="C490" t="s">
        <v>24</v>
      </c>
      <c r="D490" t="s">
        <v>25</v>
      </c>
      <c r="E490" t="s">
        <v>26</v>
      </c>
      <c r="F490" t="s">
        <v>27</v>
      </c>
      <c r="G490" t="s">
        <v>28</v>
      </c>
      <c r="H490">
        <v>30</v>
      </c>
      <c r="I490">
        <v>20</v>
      </c>
      <c r="J490">
        <v>6.6</v>
      </c>
      <c r="L490">
        <v>1.5</v>
      </c>
      <c r="N490">
        <v>23</v>
      </c>
      <c r="O490">
        <v>30</v>
      </c>
      <c r="S490">
        <v>2</v>
      </c>
      <c r="T490">
        <v>5.7</v>
      </c>
      <c r="U490">
        <v>12.5</v>
      </c>
      <c r="V490">
        <v>643</v>
      </c>
      <c r="X490" t="s">
        <v>128</v>
      </c>
    </row>
    <row r="491" spans="1:24">
      <c r="A491" t="str">
        <f>Hyperlink("https://www.diodes.com/part/view/DMN3026LVTQ","DMN3026LVTQ")</f>
        <v>DMN3026LVTQ</v>
      </c>
      <c r="B491" t="str">
        <f>Hyperlink("https://www.diodes.com/assets/Datasheets/DMN3026LVTQ.pdf","DMN3026LVTQ Datasheet")</f>
        <v>DMN3026LVTQ Datasheet</v>
      </c>
      <c r="C491" t="s">
        <v>504</v>
      </c>
      <c r="D491" t="s">
        <v>25</v>
      </c>
      <c r="E491" t="s">
        <v>33</v>
      </c>
      <c r="F491" t="s">
        <v>27</v>
      </c>
      <c r="G491" t="s">
        <v>28</v>
      </c>
      <c r="H491">
        <v>30</v>
      </c>
      <c r="I491">
        <v>20</v>
      </c>
      <c r="J491">
        <v>6.6</v>
      </c>
      <c r="L491">
        <v>1.5</v>
      </c>
      <c r="N491">
        <v>23</v>
      </c>
      <c r="O491">
        <v>30</v>
      </c>
      <c r="S491">
        <v>2</v>
      </c>
      <c r="T491">
        <v>5.7</v>
      </c>
      <c r="U491">
        <v>12.5</v>
      </c>
      <c r="V491">
        <v>643</v>
      </c>
      <c r="W491">
        <v>15</v>
      </c>
      <c r="X491" t="s">
        <v>128</v>
      </c>
    </row>
    <row r="492" spans="1:24">
      <c r="A492" t="str">
        <f>Hyperlink("https://www.diodes.com/part/view/DMN3027LFG","DMN3027LFG")</f>
        <v>DMN3027LFG</v>
      </c>
      <c r="B492" t="str">
        <f>Hyperlink("https://www.diodes.com/assets/Datasheets/DMN3027LFG.pdf","DMN3027LFG Datasheet")</f>
        <v>DMN3027LFG Datasheet</v>
      </c>
      <c r="C492" t="s">
        <v>24</v>
      </c>
      <c r="D492" t="s">
        <v>28</v>
      </c>
      <c r="E492" t="s">
        <v>26</v>
      </c>
      <c r="F492" t="s">
        <v>27</v>
      </c>
      <c r="G492" t="s">
        <v>28</v>
      </c>
      <c r="H492">
        <v>30</v>
      </c>
      <c r="I492">
        <v>25</v>
      </c>
      <c r="J492">
        <v>8</v>
      </c>
      <c r="L492">
        <v>2.07</v>
      </c>
      <c r="N492">
        <v>18.6</v>
      </c>
      <c r="O492">
        <v>26.5</v>
      </c>
      <c r="S492">
        <v>1.8</v>
      </c>
      <c r="T492">
        <v>5.3</v>
      </c>
      <c r="U492">
        <v>11.3</v>
      </c>
      <c r="V492">
        <v>580</v>
      </c>
      <c r="W492">
        <v>15</v>
      </c>
      <c r="X492" t="s">
        <v>529</v>
      </c>
    </row>
    <row r="493" spans="1:24">
      <c r="A493" t="str">
        <f>Hyperlink("https://www.diodes.com/part/view/DMN3028L","DMN3028L")</f>
        <v>DMN3028L</v>
      </c>
      <c r="B493" t="str">
        <f>Hyperlink("https://www.diodes.com/assets/Datasheets/DMN3028L.pdf","DMN3028L Datasheet")</f>
        <v>DMN3028L Datasheet</v>
      </c>
      <c r="C493" t="s">
        <v>24</v>
      </c>
      <c r="D493" t="s">
        <v>28</v>
      </c>
      <c r="E493" t="s">
        <v>26</v>
      </c>
      <c r="F493" t="s">
        <v>27</v>
      </c>
      <c r="G493" t="s">
        <v>25</v>
      </c>
      <c r="H493">
        <v>30</v>
      </c>
      <c r="I493">
        <v>20</v>
      </c>
      <c r="J493">
        <v>6.2</v>
      </c>
      <c r="L493">
        <v>1.4</v>
      </c>
      <c r="N493">
        <v>25</v>
      </c>
      <c r="O493">
        <v>28</v>
      </c>
      <c r="P493">
        <v>68</v>
      </c>
      <c r="S493">
        <v>1.8</v>
      </c>
      <c r="T493">
        <v>7.8</v>
      </c>
      <c r="U493">
        <v>10.9</v>
      </c>
      <c r="X493" t="s">
        <v>32</v>
      </c>
    </row>
    <row r="494" spans="1:24">
      <c r="A494" t="str">
        <f>Hyperlink("https://www.diodes.com/part/view/DMN3028LQ","DMN3028LQ")</f>
        <v>DMN3028LQ</v>
      </c>
      <c r="B494" t="str">
        <f>Hyperlink("https://www.diodes.com/assets/Datasheets/DMN3028LQ.pdf","DMN3028LQ Datasheet")</f>
        <v>DMN3028LQ Datasheet</v>
      </c>
      <c r="C494" t="s">
        <v>24</v>
      </c>
      <c r="D494" t="s">
        <v>25</v>
      </c>
      <c r="E494" t="s">
        <v>33</v>
      </c>
      <c r="F494" t="s">
        <v>27</v>
      </c>
      <c r="G494" t="s">
        <v>25</v>
      </c>
      <c r="H494">
        <v>30</v>
      </c>
      <c r="I494">
        <v>20</v>
      </c>
      <c r="J494">
        <v>6.2</v>
      </c>
      <c r="L494">
        <v>1.4</v>
      </c>
      <c r="N494">
        <v>25</v>
      </c>
      <c r="O494">
        <v>28</v>
      </c>
      <c r="P494">
        <v>68</v>
      </c>
      <c r="S494">
        <v>1.8</v>
      </c>
      <c r="T494">
        <v>7.8</v>
      </c>
      <c r="U494">
        <v>10.9</v>
      </c>
      <c r="V494">
        <v>680</v>
      </c>
      <c r="W494">
        <v>15</v>
      </c>
      <c r="X494" t="s">
        <v>32</v>
      </c>
    </row>
    <row r="495" spans="1:24">
      <c r="A495" t="str">
        <f>Hyperlink("https://www.diodes.com/part/view/DMN3029LFG","DMN3029LFG")</f>
        <v>DMN3029LFG</v>
      </c>
      <c r="B495" t="str">
        <f>Hyperlink("https://www.diodes.com/assets/Datasheets/DMN3029LFG.pdf","DMN3029LFG Datasheet")</f>
        <v>DMN3029LFG Datasheet</v>
      </c>
      <c r="C495" t="s">
        <v>24</v>
      </c>
      <c r="D495" t="s">
        <v>25</v>
      </c>
      <c r="E495" t="s">
        <v>26</v>
      </c>
      <c r="F495" t="s">
        <v>27</v>
      </c>
      <c r="G495" t="s">
        <v>28</v>
      </c>
      <c r="H495">
        <v>30</v>
      </c>
      <c r="I495">
        <v>25</v>
      </c>
      <c r="J495">
        <v>8</v>
      </c>
      <c r="L495">
        <v>2.07</v>
      </c>
      <c r="N495">
        <v>18.6</v>
      </c>
      <c r="O495">
        <v>26.5</v>
      </c>
      <c r="S495">
        <v>1.8</v>
      </c>
      <c r="T495">
        <v>5.3</v>
      </c>
      <c r="U495">
        <v>11.3</v>
      </c>
      <c r="V495">
        <v>580</v>
      </c>
      <c r="X495" t="s">
        <v>529</v>
      </c>
    </row>
    <row r="496" spans="1:24">
      <c r="A496" t="str">
        <f>Hyperlink("https://www.diodes.com/part/view/DMN3030LSS","DMN3030LSS")</f>
        <v>DMN3030LSS</v>
      </c>
      <c r="B496" t="str">
        <f>Hyperlink("https://www.diodes.com/assets/Datasheets/DMN3030LSS.pdf","DMN3030LSS Datasheet")</f>
        <v>DMN3030LSS Datasheet</v>
      </c>
      <c r="C496" t="s">
        <v>24</v>
      </c>
      <c r="D496" t="s">
        <v>25</v>
      </c>
      <c r="E496" t="s">
        <v>26</v>
      </c>
      <c r="F496" t="s">
        <v>27</v>
      </c>
      <c r="G496" t="s">
        <v>28</v>
      </c>
      <c r="H496">
        <v>30</v>
      </c>
      <c r="I496">
        <v>25</v>
      </c>
      <c r="J496">
        <v>9</v>
      </c>
      <c r="L496">
        <v>2.5</v>
      </c>
      <c r="N496">
        <v>18</v>
      </c>
      <c r="O496">
        <v>30</v>
      </c>
      <c r="S496">
        <v>2.1</v>
      </c>
      <c r="T496">
        <v>7.6</v>
      </c>
      <c r="U496">
        <v>16.7</v>
      </c>
      <c r="V496">
        <v>741</v>
      </c>
      <c r="X496" t="s">
        <v>155</v>
      </c>
    </row>
    <row r="497" spans="1:24">
      <c r="A497" t="str">
        <f>Hyperlink("https://www.diodes.com/part/view/DMN3032L","DMN3032L")</f>
        <v>DMN3032L</v>
      </c>
      <c r="B497" t="str">
        <f>Hyperlink("https://www.diodes.com/assets/Datasheets/DMN3032L.pdf","DMN3032L Datasheet")</f>
        <v>DMN3032L Datasheet</v>
      </c>
      <c r="C497" t="s">
        <v>605</v>
      </c>
      <c r="D497" t="s">
        <v>28</v>
      </c>
      <c r="E497" t="s">
        <v>26</v>
      </c>
      <c r="F497" t="s">
        <v>27</v>
      </c>
      <c r="G497" t="s">
        <v>28</v>
      </c>
      <c r="H497">
        <v>30</v>
      </c>
      <c r="I497">
        <v>20</v>
      </c>
      <c r="J497">
        <v>5.4</v>
      </c>
      <c r="L497">
        <v>1.3</v>
      </c>
      <c r="N497">
        <v>31</v>
      </c>
      <c r="O497">
        <v>45</v>
      </c>
      <c r="R497">
        <v>1</v>
      </c>
      <c r="S497">
        <v>2</v>
      </c>
      <c r="T497">
        <v>5</v>
      </c>
      <c r="V497">
        <v>481</v>
      </c>
      <c r="W497">
        <v>15</v>
      </c>
      <c r="X497" t="s">
        <v>32</v>
      </c>
    </row>
    <row r="498" spans="1:24">
      <c r="A498" t="str">
        <f>Hyperlink("https://www.diodes.com/part/view/DMN3032LE","DMN3032LE")</f>
        <v>DMN3032LE</v>
      </c>
      <c r="B498" t="str">
        <f>Hyperlink("https://www.diodes.com/assets/Datasheets/DMN3032LE.pdf","DMN3032LE Datasheet")</f>
        <v>DMN3032LE Datasheet</v>
      </c>
      <c r="C498" t="s">
        <v>24</v>
      </c>
      <c r="D498" t="s">
        <v>25</v>
      </c>
      <c r="E498" t="s">
        <v>26</v>
      </c>
      <c r="F498" t="s">
        <v>27</v>
      </c>
      <c r="G498" t="s">
        <v>28</v>
      </c>
      <c r="H498">
        <v>30</v>
      </c>
      <c r="I498">
        <v>20</v>
      </c>
      <c r="J498">
        <v>5.6</v>
      </c>
      <c r="L498">
        <v>1.8</v>
      </c>
      <c r="N498">
        <v>29</v>
      </c>
      <c r="O498">
        <v>35</v>
      </c>
      <c r="S498">
        <v>2</v>
      </c>
      <c r="U498">
        <v>11.3</v>
      </c>
      <c r="V498">
        <v>498</v>
      </c>
      <c r="X498" t="s">
        <v>586</v>
      </c>
    </row>
    <row r="499" spans="1:24">
      <c r="A499" t="str">
        <f>Hyperlink("https://www.diodes.com/part/view/DMN3032LFDB","DMN3032LFDB")</f>
        <v>DMN3032LFDB</v>
      </c>
      <c r="B499" t="str">
        <f>Hyperlink("https://www.diodes.com/assets/Datasheets/DMN3032LFDB.pdf","DMN3032LFDB Datasheet")</f>
        <v>DMN3032LFDB Datasheet</v>
      </c>
      <c r="C499" t="s">
        <v>34</v>
      </c>
      <c r="D499" t="s">
        <v>25</v>
      </c>
      <c r="E499" t="s">
        <v>26</v>
      </c>
      <c r="F499" t="s">
        <v>35</v>
      </c>
      <c r="G499" t="s">
        <v>28</v>
      </c>
      <c r="H499">
        <v>30</v>
      </c>
      <c r="I499">
        <v>20</v>
      </c>
      <c r="J499">
        <v>6.2</v>
      </c>
      <c r="L499">
        <v>1.7</v>
      </c>
      <c r="N499">
        <v>30</v>
      </c>
      <c r="O499">
        <v>42</v>
      </c>
      <c r="S499">
        <v>2</v>
      </c>
      <c r="T499">
        <v>5</v>
      </c>
      <c r="U499">
        <v>10.6</v>
      </c>
      <c r="V499">
        <v>500</v>
      </c>
      <c r="W499">
        <v>15</v>
      </c>
      <c r="X499" t="s">
        <v>125</v>
      </c>
    </row>
    <row r="500" spans="1:24">
      <c r="A500" t="str">
        <f>Hyperlink("https://www.diodes.com/part/view/DMN3032LFDBQ","DMN3032LFDBQ")</f>
        <v>DMN3032LFDBQ</v>
      </c>
      <c r="B500" t="str">
        <f>Hyperlink("https://www.diodes.com/assets/Datasheets/DMN3032LFDBQ.pdf","DMN3032LFDBQ Datasheet")</f>
        <v>DMN3032LFDBQ Datasheet</v>
      </c>
      <c r="C500" t="s">
        <v>34</v>
      </c>
      <c r="D500" t="s">
        <v>25</v>
      </c>
      <c r="E500" t="s">
        <v>33</v>
      </c>
      <c r="F500" t="s">
        <v>35</v>
      </c>
      <c r="G500" t="s">
        <v>28</v>
      </c>
      <c r="H500">
        <v>30</v>
      </c>
      <c r="I500">
        <v>20</v>
      </c>
      <c r="J500">
        <v>6.2</v>
      </c>
      <c r="L500">
        <v>1.7</v>
      </c>
      <c r="N500">
        <v>30</v>
      </c>
      <c r="O500">
        <v>42</v>
      </c>
      <c r="S500">
        <v>2</v>
      </c>
      <c r="T500">
        <v>5</v>
      </c>
      <c r="U500">
        <v>10.6</v>
      </c>
      <c r="V500">
        <v>500</v>
      </c>
      <c r="W500">
        <v>15</v>
      </c>
      <c r="X500" t="s">
        <v>125</v>
      </c>
    </row>
    <row r="501" spans="1:24">
      <c r="A501" t="str">
        <f>Hyperlink("https://www.diodes.com/part/view/DMN3032LFDBWQ","DMN3032LFDBWQ")</f>
        <v>DMN3032LFDBWQ</v>
      </c>
      <c r="B501" t="str">
        <f>Hyperlink("https://www.diodes.com/assets/Datasheets/DMN3032LFDBWQ.pdf","DMN3032LFDBWQ Datasheet")</f>
        <v>DMN3032LFDBWQ Datasheet</v>
      </c>
      <c r="C501" t="s">
        <v>34</v>
      </c>
      <c r="D501" t="s">
        <v>25</v>
      </c>
      <c r="E501" t="s">
        <v>33</v>
      </c>
      <c r="F501" t="s">
        <v>35</v>
      </c>
      <c r="G501" t="s">
        <v>28</v>
      </c>
      <c r="H501">
        <v>30</v>
      </c>
      <c r="I501">
        <v>20</v>
      </c>
      <c r="J501">
        <v>5.5</v>
      </c>
      <c r="L501">
        <v>1.37</v>
      </c>
      <c r="N501">
        <v>30</v>
      </c>
      <c r="O501">
        <v>42</v>
      </c>
      <c r="S501">
        <v>2</v>
      </c>
      <c r="T501">
        <v>5</v>
      </c>
      <c r="U501">
        <v>10.6</v>
      </c>
      <c r="V501">
        <v>500</v>
      </c>
      <c r="W501">
        <v>15</v>
      </c>
      <c r="X501" t="s">
        <v>676</v>
      </c>
    </row>
    <row r="502" spans="1:24">
      <c r="A502" t="str">
        <f>Hyperlink("https://www.diodes.com/part/view/DMN3032LQ","DMN3032LQ")</f>
        <v>DMN3032LQ</v>
      </c>
      <c r="B502" t="str">
        <f>Hyperlink("https://www.diodes.com/assets/Datasheets/DMN3032LQ.pdf","DMN3032LQ Datasheet")</f>
        <v>DMN3032LQ Datasheet</v>
      </c>
      <c r="C502" t="s">
        <v>24</v>
      </c>
      <c r="D502" t="s">
        <v>25</v>
      </c>
      <c r="E502" t="s">
        <v>33</v>
      </c>
      <c r="F502" t="s">
        <v>27</v>
      </c>
      <c r="G502" t="s">
        <v>28</v>
      </c>
      <c r="H502">
        <v>30</v>
      </c>
      <c r="I502">
        <v>20</v>
      </c>
      <c r="J502">
        <v>5.4</v>
      </c>
      <c r="L502">
        <v>1.3</v>
      </c>
      <c r="N502">
        <v>31</v>
      </c>
      <c r="O502">
        <v>45</v>
      </c>
      <c r="R502">
        <v>1</v>
      </c>
      <c r="S502">
        <v>2</v>
      </c>
      <c r="T502">
        <v>5</v>
      </c>
      <c r="V502">
        <v>481</v>
      </c>
      <c r="W502">
        <v>15</v>
      </c>
      <c r="X502" t="s">
        <v>32</v>
      </c>
    </row>
    <row r="503" spans="1:24">
      <c r="A503" t="str">
        <f>Hyperlink("https://www.diodes.com/part/view/DMN3033LDM","DMN3033LDM")</f>
        <v>DMN3033LDM</v>
      </c>
      <c r="B503" t="str">
        <f>Hyperlink("https://www.diodes.com/assets/Datasheets/ds31345.pdf","DMN3033LDM Datasheet")</f>
        <v>DMN3033LDM Datasheet</v>
      </c>
      <c r="C503" t="s">
        <v>24</v>
      </c>
      <c r="D503" t="s">
        <v>25</v>
      </c>
      <c r="E503" t="s">
        <v>26</v>
      </c>
      <c r="F503" t="s">
        <v>27</v>
      </c>
      <c r="G503" t="s">
        <v>28</v>
      </c>
      <c r="H503">
        <v>30</v>
      </c>
      <c r="I503">
        <v>20</v>
      </c>
      <c r="J503">
        <v>6.9</v>
      </c>
      <c r="L503">
        <v>2</v>
      </c>
      <c r="N503">
        <v>33</v>
      </c>
      <c r="O503">
        <v>40</v>
      </c>
      <c r="S503">
        <v>2.1</v>
      </c>
      <c r="T503">
        <v>6.4</v>
      </c>
      <c r="U503">
        <v>13</v>
      </c>
      <c r="V503">
        <v>755</v>
      </c>
      <c r="X503" t="s">
        <v>261</v>
      </c>
    </row>
    <row r="504" spans="1:24">
      <c r="A504" t="str">
        <f>Hyperlink("https://www.diodes.com/part/view/DMN3033LSD","DMN3033LSD")</f>
        <v>DMN3033LSD</v>
      </c>
      <c r="B504" t="str">
        <f>Hyperlink("https://www.diodes.com/assets/Datasheets/ds31262.pdf","DMN3033LSD Datasheet")</f>
        <v>DMN3033LSD Datasheet</v>
      </c>
      <c r="C504" t="s">
        <v>34</v>
      </c>
      <c r="D504" t="s">
        <v>25</v>
      </c>
      <c r="E504" t="s">
        <v>26</v>
      </c>
      <c r="F504" t="s">
        <v>35</v>
      </c>
      <c r="G504" t="s">
        <v>28</v>
      </c>
      <c r="H504">
        <v>30</v>
      </c>
      <c r="I504">
        <v>20</v>
      </c>
      <c r="J504">
        <v>6.9</v>
      </c>
      <c r="L504">
        <v>2</v>
      </c>
      <c r="N504">
        <v>20</v>
      </c>
      <c r="O504">
        <v>27</v>
      </c>
      <c r="S504">
        <v>2.1</v>
      </c>
      <c r="T504">
        <v>6.4</v>
      </c>
      <c r="U504">
        <v>13</v>
      </c>
      <c r="V504">
        <v>725</v>
      </c>
      <c r="X504" t="s">
        <v>155</v>
      </c>
    </row>
    <row r="505" spans="1:24">
      <c r="A505" t="str">
        <f>Hyperlink("https://www.diodes.com/part/view/DMN3033LSDQ","DMN3033LSDQ")</f>
        <v>DMN3033LSDQ</v>
      </c>
      <c r="B505" t="str">
        <f>Hyperlink("https://www.diodes.com/assets/Datasheets/DMN3033LSDQ.pdf","DMN3033LSDQ Datasheet")</f>
        <v>DMN3033LSDQ Datasheet</v>
      </c>
      <c r="C505" t="s">
        <v>34</v>
      </c>
      <c r="D505" t="s">
        <v>25</v>
      </c>
      <c r="E505" t="s">
        <v>33</v>
      </c>
      <c r="F505" t="s">
        <v>35</v>
      </c>
      <c r="G505" t="s">
        <v>28</v>
      </c>
      <c r="H505">
        <v>30</v>
      </c>
      <c r="I505">
        <v>20</v>
      </c>
      <c r="J505">
        <v>6.9</v>
      </c>
      <c r="L505">
        <v>2</v>
      </c>
      <c r="N505">
        <v>20</v>
      </c>
      <c r="O505">
        <v>27</v>
      </c>
      <c r="S505">
        <v>2.1</v>
      </c>
      <c r="T505">
        <v>6.4</v>
      </c>
      <c r="U505">
        <v>13</v>
      </c>
      <c r="V505">
        <v>725</v>
      </c>
      <c r="W505">
        <v>15</v>
      </c>
      <c r="X505" t="s">
        <v>155</v>
      </c>
    </row>
    <row r="506" spans="1:24">
      <c r="A506" t="str">
        <f>Hyperlink("https://www.diodes.com/part/view/DMN3033LSN","DMN3033LSN")</f>
        <v>DMN3033LSN</v>
      </c>
      <c r="B506" t="str">
        <f>Hyperlink("https://www.diodes.com/assets/Datasheets/ds31116.pdf","DMN3033LSN Datasheet")</f>
        <v>DMN3033LSN Datasheet</v>
      </c>
      <c r="C506" t="s">
        <v>24</v>
      </c>
      <c r="D506" t="s">
        <v>25</v>
      </c>
      <c r="E506" t="s">
        <v>26</v>
      </c>
      <c r="F506" t="s">
        <v>27</v>
      </c>
      <c r="G506" t="s">
        <v>28</v>
      </c>
      <c r="H506">
        <v>30</v>
      </c>
      <c r="I506">
        <v>20</v>
      </c>
      <c r="J506">
        <v>6</v>
      </c>
      <c r="L506">
        <v>1.4</v>
      </c>
      <c r="N506">
        <v>30</v>
      </c>
      <c r="O506">
        <v>40</v>
      </c>
      <c r="S506">
        <v>2.1</v>
      </c>
      <c r="T506" t="s">
        <v>677</v>
      </c>
      <c r="V506">
        <v>755</v>
      </c>
      <c r="X506" t="s">
        <v>63</v>
      </c>
    </row>
    <row r="507" spans="1:24">
      <c r="A507" t="str">
        <f>Hyperlink("https://www.diodes.com/part/view/DMN3033LSNQ","DMN3033LSNQ")</f>
        <v>DMN3033LSNQ</v>
      </c>
      <c r="B507" t="str">
        <f>Hyperlink("https://www.diodes.com/assets/Datasheets/DMN3033LSNQ.pdf","DMN3033LSNQ Datasheet")</f>
        <v>DMN3033LSNQ Datasheet</v>
      </c>
      <c r="C507" t="s">
        <v>24</v>
      </c>
      <c r="D507" t="s">
        <v>25</v>
      </c>
      <c r="E507" t="s">
        <v>33</v>
      </c>
      <c r="F507" t="s">
        <v>27</v>
      </c>
      <c r="G507" t="s">
        <v>28</v>
      </c>
      <c r="H507">
        <v>30</v>
      </c>
      <c r="I507">
        <v>20</v>
      </c>
      <c r="J507">
        <v>6</v>
      </c>
      <c r="L507">
        <v>1.4</v>
      </c>
      <c r="N507">
        <v>30</v>
      </c>
      <c r="O507">
        <v>40</v>
      </c>
      <c r="S507">
        <v>2.1</v>
      </c>
      <c r="T507" t="s">
        <v>677</v>
      </c>
      <c r="V507">
        <v>755</v>
      </c>
      <c r="W507">
        <v>10</v>
      </c>
      <c r="X507" t="s">
        <v>63</v>
      </c>
    </row>
    <row r="508" spans="1:24">
      <c r="A508" t="str">
        <f>Hyperlink("https://www.diodes.com/part/view/DMN3035LWN","DMN3035LWN")</f>
        <v>DMN3035LWN</v>
      </c>
      <c r="B508" t="str">
        <f>Hyperlink("https://www.diodes.com/assets/Datasheets/DMN3035LWN.pdf","DMN3035LWN Datasheet")</f>
        <v>DMN3035LWN Datasheet</v>
      </c>
      <c r="C508" t="s">
        <v>668</v>
      </c>
      <c r="D508" t="s">
        <v>28</v>
      </c>
      <c r="E508" t="s">
        <v>26</v>
      </c>
      <c r="F508" t="s">
        <v>35</v>
      </c>
      <c r="G508" t="s">
        <v>28</v>
      </c>
      <c r="H508">
        <v>30</v>
      </c>
      <c r="I508">
        <v>20</v>
      </c>
      <c r="J508">
        <v>5.5</v>
      </c>
      <c r="L508">
        <v>1.78</v>
      </c>
      <c r="N508">
        <v>35</v>
      </c>
      <c r="O508">
        <v>45</v>
      </c>
      <c r="S508">
        <v>2</v>
      </c>
      <c r="T508">
        <v>4.5</v>
      </c>
      <c r="U508">
        <v>9.9</v>
      </c>
      <c r="V508">
        <v>399</v>
      </c>
      <c r="W508">
        <v>15</v>
      </c>
      <c r="X508" t="s">
        <v>678</v>
      </c>
    </row>
    <row r="509" spans="1:24">
      <c r="A509" t="str">
        <f>Hyperlink("https://www.diodes.com/part/view/DMN3042L","DMN3042L")</f>
        <v>DMN3042L</v>
      </c>
      <c r="B509" t="str">
        <f>Hyperlink("https://www.diodes.com/assets/Datasheets/DMN3042L.pdf","DMN3042L Datasheet")</f>
        <v>DMN3042L Datasheet</v>
      </c>
      <c r="C509" t="s">
        <v>504</v>
      </c>
      <c r="D509" t="s">
        <v>28</v>
      </c>
      <c r="E509" t="s">
        <v>26</v>
      </c>
      <c r="F509" t="s">
        <v>27</v>
      </c>
      <c r="G509" t="s">
        <v>28</v>
      </c>
      <c r="H509">
        <v>30</v>
      </c>
      <c r="I509">
        <v>12</v>
      </c>
      <c r="J509">
        <v>5.8</v>
      </c>
      <c r="L509">
        <v>1.4</v>
      </c>
      <c r="N509">
        <v>26.5</v>
      </c>
      <c r="O509">
        <v>32</v>
      </c>
      <c r="P509">
        <v>48</v>
      </c>
      <c r="S509">
        <v>1.4</v>
      </c>
      <c r="T509">
        <v>6.1</v>
      </c>
      <c r="U509">
        <v>13.3</v>
      </c>
      <c r="V509">
        <v>570</v>
      </c>
      <c r="W509">
        <v>15</v>
      </c>
      <c r="X509" t="s">
        <v>30</v>
      </c>
    </row>
    <row r="510" spans="1:24">
      <c r="A510" t="str">
        <f>Hyperlink("https://www.diodes.com/part/view/DMN3042LFDF","DMN3042LFDF")</f>
        <v>DMN3042LFDF</v>
      </c>
      <c r="B510" t="str">
        <f>Hyperlink("https://www.diodes.com/assets/Datasheets/DMN3042LFDF.pdf","DMN3042LFDF Datasheet")</f>
        <v>DMN3042LFDF Datasheet</v>
      </c>
      <c r="C510" t="s">
        <v>504</v>
      </c>
      <c r="D510" t="s">
        <v>25</v>
      </c>
      <c r="E510" t="s">
        <v>26</v>
      </c>
      <c r="F510" t="s">
        <v>27</v>
      </c>
      <c r="G510" t="s">
        <v>28</v>
      </c>
      <c r="H510">
        <v>30</v>
      </c>
      <c r="I510">
        <v>12</v>
      </c>
      <c r="J510">
        <v>7</v>
      </c>
      <c r="L510">
        <v>2.1</v>
      </c>
      <c r="N510">
        <v>28</v>
      </c>
      <c r="O510">
        <v>32</v>
      </c>
      <c r="P510">
        <v>50</v>
      </c>
      <c r="S510">
        <v>1.4</v>
      </c>
      <c r="T510">
        <v>6.1</v>
      </c>
      <c r="U510">
        <v>13.3</v>
      </c>
      <c r="V510">
        <v>570</v>
      </c>
      <c r="W510">
        <v>15</v>
      </c>
      <c r="X510" t="s">
        <v>568</v>
      </c>
    </row>
    <row r="511" spans="1:24">
      <c r="A511" t="str">
        <f>Hyperlink("https://www.diodes.com/part/view/DMN3051L","DMN3051L")</f>
        <v>DMN3051L</v>
      </c>
      <c r="B511" t="str">
        <f>Hyperlink("https://www.diodes.com/assets/Datasheets/ds31347.pdf","DMN3051L Datasheet")</f>
        <v>DMN3051L Datasheet</v>
      </c>
      <c r="C511" t="s">
        <v>24</v>
      </c>
      <c r="D511" t="s">
        <v>25</v>
      </c>
      <c r="E511" t="s">
        <v>26</v>
      </c>
      <c r="F511" t="s">
        <v>27</v>
      </c>
      <c r="G511" t="s">
        <v>28</v>
      </c>
      <c r="H511">
        <v>30</v>
      </c>
      <c r="I511">
        <v>20</v>
      </c>
      <c r="J511">
        <v>5.8</v>
      </c>
      <c r="L511">
        <v>1.4</v>
      </c>
      <c r="N511">
        <v>38</v>
      </c>
      <c r="O511">
        <v>64</v>
      </c>
      <c r="S511">
        <v>2.2</v>
      </c>
      <c r="U511">
        <v>9</v>
      </c>
      <c r="V511">
        <v>424</v>
      </c>
      <c r="X511" t="s">
        <v>32</v>
      </c>
    </row>
    <row r="512" spans="1:24">
      <c r="A512" t="str">
        <f>Hyperlink("https://www.diodes.com/part/view/DMN3051LDM","DMN3051LDM")</f>
        <v>DMN3051LDM</v>
      </c>
      <c r="B512" t="str">
        <f>Hyperlink("https://www.diodes.com/assets/Datasheets/ds31523.pdf","DMN3051LDM Datasheet")</f>
        <v>DMN3051LDM Datasheet</v>
      </c>
      <c r="C512" t="s">
        <v>24</v>
      </c>
      <c r="D512" t="s">
        <v>25</v>
      </c>
      <c r="E512" t="s">
        <v>26</v>
      </c>
      <c r="F512" t="s">
        <v>27</v>
      </c>
      <c r="G512" t="s">
        <v>28</v>
      </c>
      <c r="H512">
        <v>30</v>
      </c>
      <c r="I512">
        <v>20</v>
      </c>
      <c r="J512">
        <v>4</v>
      </c>
      <c r="L512">
        <v>0.9</v>
      </c>
      <c r="N512">
        <v>38</v>
      </c>
      <c r="O512">
        <v>64</v>
      </c>
      <c r="S512">
        <v>2.2</v>
      </c>
      <c r="T512">
        <v>4.3</v>
      </c>
      <c r="U512">
        <v>8.6</v>
      </c>
      <c r="V512">
        <v>424</v>
      </c>
      <c r="X512" t="s">
        <v>261</v>
      </c>
    </row>
    <row r="513" spans="1:24">
      <c r="A513" t="str">
        <f>Hyperlink("https://www.diodes.com/part/view/DMN3053L","DMN3053L")</f>
        <v>DMN3053L</v>
      </c>
      <c r="B513" t="str">
        <f>Hyperlink("https://www.diodes.com/assets/Datasheets/DMN3053L.pdf","DMN3053L Datasheet")</f>
        <v>DMN3053L Datasheet</v>
      </c>
      <c r="C513" t="s">
        <v>24</v>
      </c>
      <c r="D513" t="s">
        <v>25</v>
      </c>
      <c r="E513" t="s">
        <v>26</v>
      </c>
      <c r="F513" t="s">
        <v>27</v>
      </c>
      <c r="G513" t="s">
        <v>28</v>
      </c>
      <c r="H513">
        <v>30</v>
      </c>
      <c r="I513">
        <v>12</v>
      </c>
      <c r="J513">
        <v>4</v>
      </c>
      <c r="L513">
        <v>1.2</v>
      </c>
      <c r="N513">
        <v>45</v>
      </c>
      <c r="O513">
        <v>50</v>
      </c>
      <c r="P513">
        <v>55</v>
      </c>
      <c r="S513">
        <v>1.4</v>
      </c>
      <c r="T513">
        <v>7.3</v>
      </c>
      <c r="U513">
        <v>17.2</v>
      </c>
      <c r="V513">
        <v>676</v>
      </c>
      <c r="X513" t="s">
        <v>32</v>
      </c>
    </row>
    <row r="514" spans="1:24">
      <c r="A514" t="str">
        <f>Hyperlink("https://www.diodes.com/part/view/DMN3055LFDB","DMN3055LFDB")</f>
        <v>DMN3055LFDB</v>
      </c>
      <c r="B514" t="str">
        <f>Hyperlink("https://www.diodes.com/assets/Datasheets/DMN3055LFDB.pdf","DMN3055LFDB Datasheet")</f>
        <v>DMN3055LFDB Datasheet</v>
      </c>
      <c r="C514" t="s">
        <v>34</v>
      </c>
      <c r="D514" t="s">
        <v>25</v>
      </c>
      <c r="E514" t="s">
        <v>26</v>
      </c>
      <c r="F514" t="s">
        <v>35</v>
      </c>
      <c r="G514" t="s">
        <v>28</v>
      </c>
      <c r="H514">
        <v>30</v>
      </c>
      <c r="I514">
        <v>12</v>
      </c>
      <c r="J514">
        <v>5</v>
      </c>
      <c r="L514">
        <v>1.36</v>
      </c>
      <c r="O514">
        <v>40</v>
      </c>
      <c r="P514">
        <v>75</v>
      </c>
      <c r="S514">
        <v>1.5</v>
      </c>
      <c r="T514">
        <v>5.3</v>
      </c>
      <c r="U514">
        <v>11.2</v>
      </c>
      <c r="V514">
        <v>458</v>
      </c>
      <c r="W514">
        <v>15</v>
      </c>
      <c r="X514" t="s">
        <v>125</v>
      </c>
    </row>
    <row r="515" spans="1:24">
      <c r="A515" t="str">
        <f>Hyperlink("https://www.diodes.com/part/view/DMN3055LFDBQ","DMN3055LFDBQ")</f>
        <v>DMN3055LFDBQ</v>
      </c>
      <c r="B515" t="str">
        <f>Hyperlink("https://www.diodes.com/assets/Datasheets/DMN3055LFDBQ.pdf","DMN3055LFDBQ Datasheet")</f>
        <v>DMN3055LFDBQ Datasheet</v>
      </c>
      <c r="C515" t="s">
        <v>34</v>
      </c>
      <c r="D515" t="s">
        <v>25</v>
      </c>
      <c r="E515" t="s">
        <v>33</v>
      </c>
      <c r="F515" t="s">
        <v>35</v>
      </c>
      <c r="G515" t="s">
        <v>28</v>
      </c>
      <c r="H515">
        <v>30</v>
      </c>
      <c r="I515">
        <v>12</v>
      </c>
      <c r="J515">
        <v>5</v>
      </c>
      <c r="L515">
        <v>1.36</v>
      </c>
      <c r="O515">
        <v>40</v>
      </c>
      <c r="P515">
        <v>75</v>
      </c>
      <c r="S515">
        <v>1.5</v>
      </c>
      <c r="T515">
        <v>5.3</v>
      </c>
      <c r="U515">
        <v>11.2</v>
      </c>
      <c r="X515" t="s">
        <v>125</v>
      </c>
    </row>
    <row r="516" spans="1:24">
      <c r="A516" t="str">
        <f>Hyperlink("https://www.diodes.com/part/view/DMN3060LCA3","DMN3060LCA3")</f>
        <v>DMN3060LCA3</v>
      </c>
      <c r="B516" t="str">
        <f>Hyperlink("https://www.diodes.com/assets/Datasheets/DMN3060LCA3.pdf","DMN3060LCA3 Datasheet")</f>
        <v>DMN3060LCA3 Datasheet</v>
      </c>
      <c r="C516" t="s">
        <v>24</v>
      </c>
      <c r="D516" t="s">
        <v>28</v>
      </c>
      <c r="E516" t="s">
        <v>26</v>
      </c>
      <c r="F516" t="s">
        <v>27</v>
      </c>
      <c r="G516" t="s">
        <v>25</v>
      </c>
      <c r="H516">
        <v>30</v>
      </c>
      <c r="I516">
        <v>12</v>
      </c>
      <c r="J516">
        <v>3.9</v>
      </c>
      <c r="L516">
        <v>1.35</v>
      </c>
      <c r="N516" t="s">
        <v>679</v>
      </c>
      <c r="O516">
        <v>72</v>
      </c>
      <c r="P516">
        <v>110</v>
      </c>
      <c r="Q516">
        <v>160</v>
      </c>
      <c r="S516">
        <v>1.1</v>
      </c>
      <c r="T516">
        <v>1118</v>
      </c>
      <c r="V516">
        <v>128</v>
      </c>
      <c r="W516">
        <v>15</v>
      </c>
      <c r="X516" t="s">
        <v>680</v>
      </c>
    </row>
    <row r="517" spans="1:24">
      <c r="A517" t="str">
        <f>Hyperlink("https://www.diodes.com/part/view/DMN3060LVT","DMN3060LVT")</f>
        <v>DMN3060LVT</v>
      </c>
      <c r="B517" t="str">
        <f>Hyperlink("https://www.diodes.com/assets/Datasheets/DMN3060LVT.pdf","DMN3060LVT Datasheet")</f>
        <v>DMN3060LVT Datasheet</v>
      </c>
      <c r="C517" t="s">
        <v>668</v>
      </c>
      <c r="D517" t="s">
        <v>28</v>
      </c>
      <c r="E517" t="s">
        <v>26</v>
      </c>
      <c r="F517" t="s">
        <v>35</v>
      </c>
      <c r="G517" t="s">
        <v>28</v>
      </c>
      <c r="H517" t="s">
        <v>285</v>
      </c>
      <c r="I517" t="s">
        <v>129</v>
      </c>
      <c r="J517" t="s">
        <v>681</v>
      </c>
      <c r="L517">
        <v>1.16</v>
      </c>
      <c r="N517" t="s">
        <v>454</v>
      </c>
      <c r="O517" t="s">
        <v>156</v>
      </c>
      <c r="S517" t="s">
        <v>445</v>
      </c>
      <c r="T517" t="s">
        <v>682</v>
      </c>
      <c r="U517" t="s">
        <v>683</v>
      </c>
      <c r="V517" t="s">
        <v>684</v>
      </c>
      <c r="W517" t="s">
        <v>273</v>
      </c>
      <c r="X517" t="s">
        <v>128</v>
      </c>
    </row>
    <row r="518" spans="1:24">
      <c r="A518" t="str">
        <f>Hyperlink("https://www.diodes.com/part/view/DMN3060LW","DMN3060LW")</f>
        <v>DMN3060LW</v>
      </c>
      <c r="B518" t="str">
        <f>Hyperlink("https://www.diodes.com/assets/Datasheets/DMN3060LW.pdf","DMN3060LW Datasheet")</f>
        <v>DMN3060LW Datasheet</v>
      </c>
      <c r="C518" t="s">
        <v>24</v>
      </c>
      <c r="D518" t="s">
        <v>28</v>
      </c>
      <c r="E518" t="s">
        <v>26</v>
      </c>
      <c r="F518" t="s">
        <v>27</v>
      </c>
      <c r="G518" t="s">
        <v>28</v>
      </c>
      <c r="H518">
        <v>30</v>
      </c>
      <c r="I518">
        <v>12</v>
      </c>
      <c r="J518">
        <v>2.6</v>
      </c>
      <c r="L518">
        <v>0.64</v>
      </c>
      <c r="N518">
        <v>60</v>
      </c>
      <c r="O518">
        <v>100</v>
      </c>
      <c r="S518">
        <v>1.8</v>
      </c>
      <c r="T518">
        <v>5.6</v>
      </c>
      <c r="V518">
        <v>395</v>
      </c>
      <c r="W518">
        <v>15</v>
      </c>
      <c r="X518" t="s">
        <v>60</v>
      </c>
    </row>
    <row r="519" spans="1:24">
      <c r="A519" t="str">
        <f>Hyperlink("https://www.diodes.com/part/view/DMN3060LWQ","DMN3060LWQ")</f>
        <v>DMN3060LWQ</v>
      </c>
      <c r="B519" t="str">
        <f>Hyperlink("https://www.diodes.com/assets/Datasheets/DMN3060LWQ.pdf","DMN3060LWQ Datasheet")</f>
        <v>DMN3060LWQ Datasheet</v>
      </c>
      <c r="C519" t="s">
        <v>24</v>
      </c>
      <c r="D519" t="s">
        <v>25</v>
      </c>
      <c r="E519" t="s">
        <v>33</v>
      </c>
      <c r="F519" t="s">
        <v>27</v>
      </c>
      <c r="G519" t="s">
        <v>28</v>
      </c>
      <c r="H519">
        <v>30</v>
      </c>
      <c r="I519">
        <v>12</v>
      </c>
      <c r="J519">
        <v>2.6</v>
      </c>
      <c r="L519">
        <v>0.64</v>
      </c>
      <c r="N519">
        <v>60</v>
      </c>
      <c r="O519">
        <v>100</v>
      </c>
      <c r="S519">
        <v>1.8</v>
      </c>
      <c r="T519">
        <v>5.6</v>
      </c>
      <c r="V519">
        <v>395</v>
      </c>
      <c r="W519">
        <v>15</v>
      </c>
      <c r="X519" t="s">
        <v>60</v>
      </c>
    </row>
    <row r="520" spans="1:24">
      <c r="A520" t="str">
        <f>Hyperlink("https://www.diodes.com/part/view/DMN3061LCA3","DMN3061LCA3")</f>
        <v>DMN3061LCA3</v>
      </c>
      <c r="B520" t="str">
        <f>Hyperlink("https://www.diodes.com/assets/Datasheets/DMN3061LCA3.pdf","DMN3061LCA3 Datasheet")</f>
        <v>DMN3061LCA3 Datasheet</v>
      </c>
      <c r="C520" t="s">
        <v>24</v>
      </c>
      <c r="D520" t="s">
        <v>28</v>
      </c>
      <c r="E520" t="s">
        <v>26</v>
      </c>
      <c r="F520" t="s">
        <v>27</v>
      </c>
      <c r="G520" t="s">
        <v>25</v>
      </c>
      <c r="H520">
        <v>30</v>
      </c>
      <c r="I520">
        <v>12</v>
      </c>
      <c r="J520">
        <v>4.6</v>
      </c>
      <c r="L520">
        <v>1.88</v>
      </c>
      <c r="O520">
        <v>62</v>
      </c>
      <c r="P520">
        <v>2.5</v>
      </c>
      <c r="S520">
        <v>1.1</v>
      </c>
      <c r="T520">
        <v>1.4</v>
      </c>
      <c r="V520">
        <v>126</v>
      </c>
      <c r="W520">
        <v>15</v>
      </c>
      <c r="X520" t="s">
        <v>680</v>
      </c>
    </row>
    <row r="521" spans="1:24">
      <c r="A521" t="str">
        <f>Hyperlink("https://www.diodes.com/part/view/DMN3061S","DMN3061S")</f>
        <v>DMN3061S</v>
      </c>
      <c r="B521" t="str">
        <f>Hyperlink("https://www.diodes.com/assets/Datasheets/DMN3061S.pdf","DMN3061S Datasheet")</f>
        <v>DMN3061S Datasheet</v>
      </c>
      <c r="C521" t="s">
        <v>24</v>
      </c>
      <c r="D521" t="s">
        <v>28</v>
      </c>
      <c r="E521" t="s">
        <v>26</v>
      </c>
      <c r="F521" t="s">
        <v>27</v>
      </c>
      <c r="G521" t="s">
        <v>28</v>
      </c>
      <c r="H521">
        <v>30</v>
      </c>
      <c r="I521">
        <v>20</v>
      </c>
      <c r="J521">
        <v>2.3</v>
      </c>
      <c r="L521">
        <v>1.23</v>
      </c>
      <c r="N521">
        <v>59</v>
      </c>
      <c r="O521">
        <v>98</v>
      </c>
      <c r="P521" t="s">
        <v>685</v>
      </c>
      <c r="R521">
        <v>0.5</v>
      </c>
      <c r="S521">
        <v>1.8</v>
      </c>
      <c r="T521">
        <v>2.9</v>
      </c>
      <c r="U521">
        <v>5.5</v>
      </c>
      <c r="V521">
        <v>233</v>
      </c>
      <c r="W521">
        <v>15</v>
      </c>
      <c r="X521" t="s">
        <v>32</v>
      </c>
    </row>
    <row r="522" spans="1:24">
      <c r="A522" t="str">
        <f>Hyperlink("https://www.diodes.com/part/view/DMN3061SQ","DMN3061SQ")</f>
        <v>DMN3061SQ</v>
      </c>
      <c r="B522" t="str">
        <f>Hyperlink("https://www.diodes.com/assets/Datasheets/DMN3061SQ.pdf","DMN3061SQ Datasheet")</f>
        <v>DMN3061SQ Datasheet</v>
      </c>
      <c r="C522" t="s">
        <v>605</v>
      </c>
      <c r="D522" t="s">
        <v>25</v>
      </c>
      <c r="E522" t="s">
        <v>33</v>
      </c>
      <c r="F522" t="s">
        <v>27</v>
      </c>
      <c r="G522" t="s">
        <v>28</v>
      </c>
      <c r="H522">
        <v>30</v>
      </c>
      <c r="I522">
        <v>20</v>
      </c>
      <c r="J522">
        <v>2.3</v>
      </c>
      <c r="L522">
        <v>0.77</v>
      </c>
      <c r="N522">
        <v>59</v>
      </c>
      <c r="O522">
        <v>98</v>
      </c>
      <c r="R522">
        <v>0.5</v>
      </c>
      <c r="S522">
        <v>1.8</v>
      </c>
      <c r="T522">
        <v>2.9</v>
      </c>
      <c r="U522">
        <v>5.5</v>
      </c>
      <c r="V522">
        <v>223</v>
      </c>
      <c r="W522">
        <v>15</v>
      </c>
      <c r="X522" t="s">
        <v>32</v>
      </c>
    </row>
    <row r="523" spans="1:24">
      <c r="A523" t="str">
        <f>Hyperlink("https://www.diodes.com/part/view/DMN3061SVT","DMN3061SVT")</f>
        <v>DMN3061SVT</v>
      </c>
      <c r="B523" t="str">
        <f>Hyperlink("https://www.diodes.com/assets/Datasheets/DMN3061SVT.pdf","DMN3061SVT Datasheet")</f>
        <v>DMN3061SVT Datasheet</v>
      </c>
      <c r="C523" t="s">
        <v>34</v>
      </c>
      <c r="D523" t="s">
        <v>28</v>
      </c>
      <c r="E523" t="s">
        <v>26</v>
      </c>
      <c r="F523" t="s">
        <v>35</v>
      </c>
      <c r="G523" t="s">
        <v>28</v>
      </c>
      <c r="H523" t="s">
        <v>285</v>
      </c>
      <c r="I523" t="s">
        <v>71</v>
      </c>
      <c r="J523" t="s">
        <v>686</v>
      </c>
      <c r="L523">
        <v>1.08</v>
      </c>
      <c r="N523" t="s">
        <v>454</v>
      </c>
      <c r="O523" t="s">
        <v>156</v>
      </c>
      <c r="S523" t="s">
        <v>445</v>
      </c>
      <c r="T523" t="s">
        <v>371</v>
      </c>
      <c r="U523" t="s">
        <v>687</v>
      </c>
      <c r="V523" t="s">
        <v>688</v>
      </c>
      <c r="W523" t="s">
        <v>273</v>
      </c>
      <c r="X523" t="s">
        <v>128</v>
      </c>
    </row>
    <row r="524" spans="1:24">
      <c r="A524" t="str">
        <f>Hyperlink("https://www.diodes.com/part/view/DMN3061SVTQ","DMN3061SVTQ")</f>
        <v>DMN3061SVTQ</v>
      </c>
      <c r="B524" t="str">
        <f>Hyperlink("https://www.diodes.com/assets/Datasheets/DMN3061SVTQ.pdf","DMN3061SVTQ Datasheet")</f>
        <v>DMN3061SVTQ Datasheet</v>
      </c>
      <c r="C524" t="s">
        <v>34</v>
      </c>
      <c r="D524" t="s">
        <v>25</v>
      </c>
      <c r="E524" t="s">
        <v>33</v>
      </c>
      <c r="F524" t="s">
        <v>35</v>
      </c>
      <c r="G524" t="s">
        <v>28</v>
      </c>
      <c r="H524">
        <v>30</v>
      </c>
      <c r="I524">
        <v>20</v>
      </c>
      <c r="J524">
        <v>3.4</v>
      </c>
      <c r="L524">
        <v>1.08</v>
      </c>
      <c r="N524">
        <v>60</v>
      </c>
      <c r="O524">
        <v>100</v>
      </c>
      <c r="R524">
        <v>0.5</v>
      </c>
      <c r="S524">
        <v>1.8</v>
      </c>
      <c r="T524">
        <v>3.5</v>
      </c>
      <c r="U524">
        <v>6.6</v>
      </c>
      <c r="V524">
        <v>278</v>
      </c>
      <c r="W524">
        <v>15</v>
      </c>
      <c r="X524" t="s">
        <v>128</v>
      </c>
    </row>
    <row r="525" spans="1:24">
      <c r="A525" t="str">
        <f>Hyperlink("https://www.diodes.com/part/view/DMN3061SW","DMN3061SW")</f>
        <v>DMN3061SW</v>
      </c>
      <c r="B525" t="str">
        <f>Hyperlink("https://www.diodes.com/assets/Datasheets/DMN3061SW.pdf","DMN3061SW Datasheet")</f>
        <v>DMN3061SW Datasheet</v>
      </c>
      <c r="C525" t="s">
        <v>24</v>
      </c>
      <c r="D525" t="s">
        <v>28</v>
      </c>
      <c r="E525" t="s">
        <v>26</v>
      </c>
      <c r="F525" t="s">
        <v>27</v>
      </c>
      <c r="G525" t="s">
        <v>28</v>
      </c>
      <c r="H525">
        <v>30</v>
      </c>
      <c r="I525">
        <v>20</v>
      </c>
      <c r="J525">
        <v>2.7</v>
      </c>
      <c r="L525">
        <v>0.65</v>
      </c>
      <c r="N525">
        <v>60</v>
      </c>
      <c r="O525">
        <v>100</v>
      </c>
      <c r="S525">
        <v>1.8</v>
      </c>
      <c r="T525">
        <v>3.5</v>
      </c>
      <c r="V525">
        <v>278</v>
      </c>
      <c r="W525">
        <v>15</v>
      </c>
      <c r="X525" t="s">
        <v>60</v>
      </c>
    </row>
    <row r="526" spans="1:24">
      <c r="A526" t="str">
        <f>Hyperlink("https://www.diodes.com/part/view/DMN3061SWQ","DMN3061SWQ")</f>
        <v>DMN3061SWQ</v>
      </c>
      <c r="B526" t="str">
        <f>Hyperlink("https://www.diodes.com/assets/Datasheets/DMN3061SWQ.pdf","DMN3061SWQ Datasheet")</f>
        <v>DMN3061SWQ Datasheet</v>
      </c>
      <c r="C526" t="s">
        <v>24</v>
      </c>
      <c r="D526" t="s">
        <v>25</v>
      </c>
      <c r="E526" t="s">
        <v>33</v>
      </c>
      <c r="F526" t="s">
        <v>27</v>
      </c>
      <c r="G526" t="s">
        <v>28</v>
      </c>
      <c r="H526">
        <v>30</v>
      </c>
      <c r="I526">
        <v>20</v>
      </c>
      <c r="J526">
        <v>2.7</v>
      </c>
      <c r="L526">
        <v>0.65</v>
      </c>
      <c r="N526">
        <v>60</v>
      </c>
      <c r="O526">
        <v>100</v>
      </c>
      <c r="S526">
        <v>1.8</v>
      </c>
      <c r="T526">
        <v>3.5</v>
      </c>
      <c r="V526">
        <v>278</v>
      </c>
      <c r="W526">
        <v>15</v>
      </c>
      <c r="X526" t="s">
        <v>60</v>
      </c>
    </row>
    <row r="527" spans="1:24">
      <c r="A527" t="str">
        <f>Hyperlink("https://www.diodes.com/part/view/DMN3065LW","DMN3065LW")</f>
        <v>DMN3065LW</v>
      </c>
      <c r="B527" t="str">
        <f>Hyperlink("https://www.diodes.com/assets/Datasheets/DMN3065LW.pdf","DMN3065LW Datasheet")</f>
        <v>DMN3065LW Datasheet</v>
      </c>
      <c r="C527" t="s">
        <v>24</v>
      </c>
      <c r="D527" t="s">
        <v>25</v>
      </c>
      <c r="E527" t="s">
        <v>26</v>
      </c>
      <c r="F527" t="s">
        <v>27</v>
      </c>
      <c r="G527" t="s">
        <v>28</v>
      </c>
      <c r="H527">
        <v>30</v>
      </c>
      <c r="I527">
        <v>12</v>
      </c>
      <c r="J527">
        <v>4</v>
      </c>
      <c r="L527">
        <v>0.77</v>
      </c>
      <c r="N527">
        <v>52</v>
      </c>
      <c r="O527">
        <v>65</v>
      </c>
      <c r="P527">
        <v>85</v>
      </c>
      <c r="S527">
        <v>1.5</v>
      </c>
      <c r="T527">
        <v>5.5</v>
      </c>
      <c r="U527">
        <v>11.7</v>
      </c>
      <c r="V527">
        <v>465</v>
      </c>
      <c r="X527" t="s">
        <v>60</v>
      </c>
    </row>
    <row r="528" spans="1:24">
      <c r="A528" t="str">
        <f>Hyperlink("https://www.diodes.com/part/view/DMN3066L","DMN3066L")</f>
        <v>DMN3066L</v>
      </c>
      <c r="B528" t="str">
        <f>Hyperlink("https://www.diodes.com/assets/Datasheets/DMN3066L.pdf","DMN3066L Datasheet")</f>
        <v>DMN3066L Datasheet</v>
      </c>
      <c r="C528" t="s">
        <v>24</v>
      </c>
      <c r="D528" t="s">
        <v>28</v>
      </c>
      <c r="E528" t="s">
        <v>26</v>
      </c>
      <c r="F528" t="s">
        <v>27</v>
      </c>
      <c r="G528" t="s">
        <v>25</v>
      </c>
      <c r="H528">
        <v>30</v>
      </c>
      <c r="I528">
        <v>12</v>
      </c>
      <c r="J528">
        <v>3.6</v>
      </c>
      <c r="L528">
        <v>1.33</v>
      </c>
      <c r="O528">
        <v>67</v>
      </c>
      <c r="P528">
        <v>98</v>
      </c>
      <c r="R528">
        <v>0.5</v>
      </c>
      <c r="S528">
        <v>1.5</v>
      </c>
      <c r="T528">
        <v>4.1</v>
      </c>
      <c r="V528">
        <v>353</v>
      </c>
      <c r="W528">
        <v>10</v>
      </c>
      <c r="X528" t="s">
        <v>32</v>
      </c>
    </row>
    <row r="529" spans="1:24">
      <c r="A529" t="str">
        <f>Hyperlink("https://www.diodes.com/part/view/DMN3066LQ","DMN3066LQ")</f>
        <v>DMN3066LQ</v>
      </c>
      <c r="B529" t="str">
        <f>Hyperlink("https://www.diodes.com/assets/Datasheets/DMN3066LQ.pdf","DMN3066LQ Datasheet")</f>
        <v>DMN3066LQ Datasheet</v>
      </c>
      <c r="C529" t="s">
        <v>24</v>
      </c>
      <c r="D529" t="s">
        <v>25</v>
      </c>
      <c r="E529" t="s">
        <v>33</v>
      </c>
      <c r="F529" t="s">
        <v>27</v>
      </c>
      <c r="G529" t="s">
        <v>25</v>
      </c>
      <c r="H529">
        <v>30</v>
      </c>
      <c r="I529">
        <v>12</v>
      </c>
      <c r="J529">
        <v>3.6</v>
      </c>
      <c r="L529">
        <v>1.33</v>
      </c>
      <c r="O529">
        <v>67</v>
      </c>
      <c r="P529">
        <v>98</v>
      </c>
      <c r="R529">
        <v>0.5</v>
      </c>
      <c r="S529">
        <v>1.5</v>
      </c>
      <c r="T529">
        <v>4.1</v>
      </c>
      <c r="V529">
        <v>353</v>
      </c>
      <c r="W529">
        <v>10</v>
      </c>
      <c r="X529" t="s">
        <v>32</v>
      </c>
    </row>
    <row r="530" spans="1:24">
      <c r="A530" t="str">
        <f>Hyperlink("https://www.diodes.com/part/view/DMN3066LVT","DMN3066LVT")</f>
        <v>DMN3066LVT</v>
      </c>
      <c r="B530" t="str">
        <f>Hyperlink("https://www.diodes.com/assets/Datasheets/DMN3066LVT.pdf","DMN3066LVT Datasheet")</f>
        <v>DMN3066LVT Datasheet</v>
      </c>
      <c r="C530" t="s">
        <v>605</v>
      </c>
      <c r="D530" t="s">
        <v>28</v>
      </c>
      <c r="E530" t="s">
        <v>26</v>
      </c>
      <c r="F530" t="s">
        <v>27</v>
      </c>
      <c r="G530" t="s">
        <v>25</v>
      </c>
      <c r="H530">
        <v>30</v>
      </c>
      <c r="I530">
        <v>12</v>
      </c>
      <c r="J530">
        <v>3.6</v>
      </c>
      <c r="L530">
        <v>1.3</v>
      </c>
      <c r="O530">
        <v>67</v>
      </c>
      <c r="P530">
        <v>98</v>
      </c>
      <c r="R530">
        <v>0.5</v>
      </c>
      <c r="S530">
        <v>1.5</v>
      </c>
      <c r="T530">
        <v>4</v>
      </c>
      <c r="V530">
        <v>328</v>
      </c>
      <c r="W530">
        <v>10</v>
      </c>
      <c r="X530" t="s">
        <v>128</v>
      </c>
    </row>
    <row r="531" spans="1:24">
      <c r="A531" t="str">
        <f>Hyperlink("https://www.diodes.com/part/view/DMN3066LVTQ","DMN3066LVTQ")</f>
        <v>DMN3066LVTQ</v>
      </c>
      <c r="B531" t="str">
        <f>Hyperlink("https://www.diodes.com/assets/Datasheets/DMN3066LVTQ.pdf","DMN3066LVTQ Datasheet")</f>
        <v>DMN3066LVTQ Datasheet</v>
      </c>
      <c r="C531" t="s">
        <v>605</v>
      </c>
      <c r="D531" t="s">
        <v>25</v>
      </c>
      <c r="E531" t="s">
        <v>33</v>
      </c>
      <c r="F531" t="s">
        <v>27</v>
      </c>
      <c r="G531" t="s">
        <v>25</v>
      </c>
      <c r="H531">
        <v>30</v>
      </c>
      <c r="I531">
        <v>12</v>
      </c>
      <c r="J531">
        <v>3.6</v>
      </c>
      <c r="L531">
        <v>1.3</v>
      </c>
      <c r="O531">
        <v>67</v>
      </c>
      <c r="P531">
        <v>98</v>
      </c>
      <c r="R531">
        <v>0.5</v>
      </c>
      <c r="S531">
        <v>1.5</v>
      </c>
      <c r="T531">
        <v>4</v>
      </c>
      <c r="V531">
        <v>328</v>
      </c>
      <c r="W531">
        <v>10</v>
      </c>
      <c r="X531" t="s">
        <v>128</v>
      </c>
    </row>
    <row r="532" spans="1:24">
      <c r="A532" t="str">
        <f>Hyperlink("https://www.diodes.com/part/view/DMN3067LW","DMN3067LW")</f>
        <v>DMN3067LW</v>
      </c>
      <c r="B532" t="str">
        <f>Hyperlink("https://www.diodes.com/assets/Datasheets/DMN3067LW.pdf","DMN3067LW Datasheet")</f>
        <v>DMN3067LW Datasheet</v>
      </c>
      <c r="C532" t="s">
        <v>24</v>
      </c>
      <c r="D532" t="s">
        <v>25</v>
      </c>
      <c r="E532" t="s">
        <v>26</v>
      </c>
      <c r="F532" t="s">
        <v>27</v>
      </c>
      <c r="G532" t="s">
        <v>25</v>
      </c>
      <c r="H532">
        <v>30</v>
      </c>
      <c r="I532">
        <v>12</v>
      </c>
      <c r="J532">
        <v>2.6</v>
      </c>
      <c r="L532">
        <v>1.1</v>
      </c>
      <c r="O532">
        <v>67</v>
      </c>
      <c r="P532">
        <v>98</v>
      </c>
      <c r="S532">
        <v>1.5</v>
      </c>
      <c r="T532">
        <v>4.6</v>
      </c>
      <c r="V532">
        <v>447</v>
      </c>
      <c r="X532" t="s">
        <v>60</v>
      </c>
    </row>
    <row r="533" spans="1:24">
      <c r="A533" t="str">
        <f>Hyperlink("https://www.diodes.com/part/view/DMN3069L","DMN3069L")</f>
        <v>DMN3069L</v>
      </c>
      <c r="B533" t="str">
        <f>Hyperlink("https://www.diodes.com/assets/Datasheets/DMN3069L.pdf","DMN3069L Datasheet")</f>
        <v>DMN3069L Datasheet</v>
      </c>
      <c r="C533" t="s">
        <v>24</v>
      </c>
      <c r="D533" t="s">
        <v>28</v>
      </c>
      <c r="E533" t="s">
        <v>26</v>
      </c>
      <c r="F533" t="s">
        <v>27</v>
      </c>
      <c r="G533" t="s">
        <v>25</v>
      </c>
      <c r="H533">
        <v>30</v>
      </c>
      <c r="I533">
        <v>20</v>
      </c>
      <c r="J533">
        <v>5.3</v>
      </c>
      <c r="L533">
        <v>1.3</v>
      </c>
      <c r="N533">
        <v>30</v>
      </c>
      <c r="O533">
        <v>40</v>
      </c>
      <c r="S533">
        <v>1.8</v>
      </c>
      <c r="T533">
        <v>4.3</v>
      </c>
      <c r="U533">
        <v>8.1</v>
      </c>
      <c r="V533">
        <v>309</v>
      </c>
      <c r="W533">
        <v>15</v>
      </c>
      <c r="X533" t="s">
        <v>32</v>
      </c>
    </row>
    <row r="534" spans="1:24">
      <c r="A534" t="str">
        <f>Hyperlink("https://www.diodes.com/part/view/DMN3070SSN","DMN3070SSN")</f>
        <v>DMN3070SSN</v>
      </c>
      <c r="B534" t="str">
        <f>Hyperlink("https://www.diodes.com/assets/Datasheets/DMN3070SSN.pdf","DMN3070SSN Datasheet")</f>
        <v>DMN3070SSN Datasheet</v>
      </c>
      <c r="C534" t="s">
        <v>504</v>
      </c>
      <c r="D534" t="s">
        <v>25</v>
      </c>
      <c r="E534" t="s">
        <v>26</v>
      </c>
      <c r="F534" t="s">
        <v>27</v>
      </c>
      <c r="G534" t="s">
        <v>28</v>
      </c>
      <c r="H534">
        <v>30</v>
      </c>
      <c r="I534">
        <v>20</v>
      </c>
      <c r="J534">
        <v>5.1</v>
      </c>
      <c r="L534">
        <v>1.3</v>
      </c>
      <c r="N534">
        <v>40</v>
      </c>
      <c r="O534">
        <v>50</v>
      </c>
      <c r="P534">
        <v>80</v>
      </c>
      <c r="S534">
        <v>2.1</v>
      </c>
      <c r="T534">
        <v>6</v>
      </c>
      <c r="U534">
        <v>13.2</v>
      </c>
      <c r="V534">
        <v>697</v>
      </c>
      <c r="X534" t="s">
        <v>63</v>
      </c>
    </row>
    <row r="535" spans="1:24">
      <c r="A535" t="str">
        <f>Hyperlink("https://www.diodes.com/part/view/DMN3071LFR4","DMN3071LFR4")</f>
        <v>DMN3071LFR4</v>
      </c>
      <c r="B535" t="str">
        <f>Hyperlink("https://www.diodes.com/assets/Datasheets/DMN3071LFR4.pdf","DMN3071LFR4 Datasheet")</f>
        <v>DMN3071LFR4 Datasheet</v>
      </c>
      <c r="C535" t="s">
        <v>24</v>
      </c>
      <c r="D535" t="s">
        <v>28</v>
      </c>
      <c r="E535" t="s">
        <v>26</v>
      </c>
      <c r="F535" t="s">
        <v>27</v>
      </c>
      <c r="G535" t="s">
        <v>28</v>
      </c>
      <c r="H535">
        <v>30</v>
      </c>
      <c r="I535">
        <v>20</v>
      </c>
      <c r="J535">
        <v>3.4</v>
      </c>
      <c r="L535">
        <v>1.1</v>
      </c>
      <c r="N535">
        <v>65</v>
      </c>
      <c r="O535">
        <v>75</v>
      </c>
      <c r="S535">
        <v>2.5</v>
      </c>
      <c r="T535">
        <v>2.1</v>
      </c>
      <c r="U535">
        <v>4.5</v>
      </c>
      <c r="V535">
        <v>190</v>
      </c>
      <c r="W535">
        <v>15</v>
      </c>
      <c r="X535" t="s">
        <v>581</v>
      </c>
    </row>
    <row r="536" spans="1:24">
      <c r="A536" t="str">
        <f>Hyperlink("https://www.diodes.com/part/view/DMN30H4D0L","DMN30H4D0L")</f>
        <v>DMN30H4D0L</v>
      </c>
      <c r="B536" t="str">
        <f>Hyperlink("https://www.diodes.com/assets/Datasheets/DMN30H4D0L.pdf","DMN30H4D0L Datasheet")</f>
        <v>DMN30H4D0L Datasheet</v>
      </c>
      <c r="C536" t="s">
        <v>24</v>
      </c>
      <c r="D536" t="s">
        <v>25</v>
      </c>
      <c r="E536" t="s">
        <v>26</v>
      </c>
      <c r="F536" t="s">
        <v>27</v>
      </c>
      <c r="G536" t="s">
        <v>28</v>
      </c>
      <c r="H536">
        <v>300</v>
      </c>
      <c r="I536">
        <v>20</v>
      </c>
      <c r="J536">
        <v>0.25</v>
      </c>
      <c r="L536">
        <v>0.47</v>
      </c>
      <c r="N536">
        <v>4000</v>
      </c>
      <c r="O536">
        <v>4000</v>
      </c>
      <c r="S536">
        <v>3</v>
      </c>
      <c r="U536">
        <v>7.6</v>
      </c>
      <c r="V536">
        <v>187.3</v>
      </c>
      <c r="X536" t="s">
        <v>32</v>
      </c>
    </row>
    <row r="537" spans="1:24">
      <c r="A537" t="str">
        <f>Hyperlink("https://www.diodes.com/part/view/DMN30H4D0LFDE","DMN30H4D0LFDE")</f>
        <v>DMN30H4D0LFDE</v>
      </c>
      <c r="B537" t="str">
        <f>Hyperlink("https://www.diodes.com/assets/Datasheets/DMN30H4D0LFDE.pdf","DMN30H4D0LFDE Datasheet")</f>
        <v>DMN30H4D0LFDE Datasheet</v>
      </c>
      <c r="C537" t="s">
        <v>24</v>
      </c>
      <c r="D537" t="s">
        <v>25</v>
      </c>
      <c r="E537" t="s">
        <v>26</v>
      </c>
      <c r="F537" t="s">
        <v>27</v>
      </c>
      <c r="G537" t="s">
        <v>28</v>
      </c>
      <c r="H537">
        <v>300</v>
      </c>
      <c r="I537">
        <v>20</v>
      </c>
      <c r="J537">
        <v>0.55</v>
      </c>
      <c r="L537">
        <v>1.98</v>
      </c>
      <c r="N537">
        <v>4000</v>
      </c>
      <c r="O537">
        <v>4000</v>
      </c>
      <c r="S537">
        <v>2.8</v>
      </c>
      <c r="U537">
        <v>7.6</v>
      </c>
      <c r="V537">
        <v>187.3</v>
      </c>
      <c r="X537" t="s">
        <v>567</v>
      </c>
    </row>
    <row r="538" spans="1:24">
      <c r="A538" t="str">
        <f>Hyperlink("https://www.diodes.com/part/view/DMN3110S","DMN3110S")</f>
        <v>DMN3110S</v>
      </c>
      <c r="B538" t="str">
        <f>Hyperlink("https://www.diodes.com/assets/Datasheets/DMN3110S.pdf","DMN3110S Datasheet")</f>
        <v>DMN3110S Datasheet</v>
      </c>
      <c r="C538" t="s">
        <v>24</v>
      </c>
      <c r="D538" t="s">
        <v>25</v>
      </c>
      <c r="E538" t="s">
        <v>26</v>
      </c>
      <c r="F538" t="s">
        <v>27</v>
      </c>
      <c r="G538" t="s">
        <v>28</v>
      </c>
      <c r="H538">
        <v>30</v>
      </c>
      <c r="I538">
        <v>20</v>
      </c>
      <c r="J538">
        <v>3.3</v>
      </c>
      <c r="L538">
        <v>1.3</v>
      </c>
      <c r="N538">
        <v>73</v>
      </c>
      <c r="O538">
        <v>110</v>
      </c>
      <c r="S538">
        <v>3</v>
      </c>
      <c r="T538">
        <v>4.1</v>
      </c>
      <c r="U538">
        <v>8.6</v>
      </c>
      <c r="V538">
        <v>306</v>
      </c>
      <c r="X538" t="s">
        <v>32</v>
      </c>
    </row>
    <row r="539" spans="1:24">
      <c r="A539" t="str">
        <f>Hyperlink("https://www.diodes.com/part/view/DMN3112SQ","DMN3112SQ")</f>
        <v>DMN3112SQ</v>
      </c>
      <c r="B539" t="str">
        <f>Hyperlink("https://www.diodes.com/assets/Datasheets/DMN3112SQ.pdf","DMN3112SQ Datasheet")</f>
        <v>DMN3112SQ Datasheet</v>
      </c>
      <c r="C539" t="s">
        <v>24</v>
      </c>
      <c r="D539" t="s">
        <v>25</v>
      </c>
      <c r="E539" t="s">
        <v>33</v>
      </c>
      <c r="F539" t="s">
        <v>27</v>
      </c>
      <c r="G539" t="s">
        <v>28</v>
      </c>
      <c r="H539">
        <v>30</v>
      </c>
      <c r="I539">
        <v>20</v>
      </c>
      <c r="J539">
        <v>5.8</v>
      </c>
      <c r="L539">
        <v>1.4</v>
      </c>
      <c r="N539">
        <v>57</v>
      </c>
      <c r="O539">
        <v>112</v>
      </c>
      <c r="S539">
        <v>2.2</v>
      </c>
      <c r="V539">
        <v>268</v>
      </c>
      <c r="W539">
        <v>5</v>
      </c>
      <c r="X539" t="s">
        <v>32</v>
      </c>
    </row>
    <row r="540" spans="1:24">
      <c r="A540" t="str">
        <f>Hyperlink("https://www.diodes.com/part/view/DMN3135LVT","DMN3135LVT")</f>
        <v>DMN3135LVT</v>
      </c>
      <c r="B540" t="str">
        <f>Hyperlink("https://www.diodes.com/assets/Datasheets/DMN3135LVT.pdf","DMN3135LVT Datasheet")</f>
        <v>DMN3135LVT Datasheet</v>
      </c>
      <c r="C540" t="s">
        <v>34</v>
      </c>
      <c r="D540" t="s">
        <v>25</v>
      </c>
      <c r="E540" t="s">
        <v>26</v>
      </c>
      <c r="F540" t="s">
        <v>35</v>
      </c>
      <c r="G540" t="s">
        <v>28</v>
      </c>
      <c r="H540">
        <v>30</v>
      </c>
      <c r="I540">
        <v>20</v>
      </c>
      <c r="J540">
        <v>3.5</v>
      </c>
      <c r="L540">
        <v>1.27</v>
      </c>
      <c r="N540">
        <v>60</v>
      </c>
      <c r="O540">
        <v>100</v>
      </c>
      <c r="S540">
        <v>2.2</v>
      </c>
      <c r="T540">
        <v>4.1</v>
      </c>
      <c r="U540">
        <v>9</v>
      </c>
      <c r="V540">
        <v>305</v>
      </c>
      <c r="X540" t="s">
        <v>128</v>
      </c>
    </row>
    <row r="541" spans="1:24">
      <c r="A541" t="str">
        <f>Hyperlink("https://www.diodes.com/part/view/DMN313DLT","DMN313DLT")</f>
        <v>DMN313DLT</v>
      </c>
      <c r="B541" t="str">
        <f>Hyperlink("https://www.diodes.com/assets/Datasheets/DMN313DLT.pdf","DMN313DLT Datasheet")</f>
        <v>DMN313DLT Datasheet</v>
      </c>
      <c r="C541" t="s">
        <v>24</v>
      </c>
      <c r="D541" t="s">
        <v>25</v>
      </c>
      <c r="E541" t="s">
        <v>26</v>
      </c>
      <c r="F541" t="s">
        <v>27</v>
      </c>
      <c r="G541" t="s">
        <v>25</v>
      </c>
      <c r="H541">
        <v>30</v>
      </c>
      <c r="I541">
        <v>20</v>
      </c>
      <c r="J541">
        <v>0.27</v>
      </c>
      <c r="L541">
        <v>0.36</v>
      </c>
      <c r="O541" t="s">
        <v>689</v>
      </c>
      <c r="P541">
        <v>3200</v>
      </c>
      <c r="S541">
        <v>1.5</v>
      </c>
      <c r="T541">
        <v>0.5</v>
      </c>
      <c r="V541">
        <v>36.3</v>
      </c>
      <c r="X541" t="s">
        <v>41</v>
      </c>
    </row>
    <row r="542" spans="1:24">
      <c r="A542" t="str">
        <f>Hyperlink("https://www.diodes.com/part/view/DMN3150L","DMN3150L")</f>
        <v>DMN3150L</v>
      </c>
      <c r="B542" t="str">
        <f>Hyperlink("https://www.diodes.com/assets/Datasheets/ds31126.pdf","DMN3150L Datasheet")</f>
        <v>DMN3150L Datasheet</v>
      </c>
      <c r="C542" t="s">
        <v>24</v>
      </c>
      <c r="D542" t="s">
        <v>25</v>
      </c>
      <c r="E542" t="s">
        <v>26</v>
      </c>
      <c r="F542" t="s">
        <v>27</v>
      </c>
      <c r="G542" t="s">
        <v>28</v>
      </c>
      <c r="H542">
        <v>30</v>
      </c>
      <c r="I542">
        <v>12</v>
      </c>
      <c r="J542">
        <v>3.8</v>
      </c>
      <c r="L542">
        <v>1.4</v>
      </c>
      <c r="N542">
        <v>54</v>
      </c>
      <c r="O542">
        <v>72</v>
      </c>
      <c r="P542">
        <v>115</v>
      </c>
      <c r="S542">
        <v>1.4</v>
      </c>
      <c r="T542">
        <v>3.7</v>
      </c>
      <c r="V542">
        <v>305</v>
      </c>
      <c r="X542" t="s">
        <v>32</v>
      </c>
    </row>
    <row r="543" spans="1:24">
      <c r="A543" t="str">
        <f>Hyperlink("https://www.diodes.com/part/view/DMN3150LW","DMN3150LW")</f>
        <v>DMN3150LW</v>
      </c>
      <c r="B543" t="str">
        <f>Hyperlink("https://www.diodes.com/assets/Datasheets/ds31514.pdf","DMN3150LW Datasheet")</f>
        <v>DMN3150LW Datasheet</v>
      </c>
      <c r="C543" t="s">
        <v>496</v>
      </c>
      <c r="D543" t="s">
        <v>25</v>
      </c>
      <c r="E543" t="s">
        <v>26</v>
      </c>
      <c r="F543" t="s">
        <v>27</v>
      </c>
      <c r="G543" t="s">
        <v>28</v>
      </c>
      <c r="H543">
        <v>28</v>
      </c>
      <c r="I543">
        <v>12</v>
      </c>
      <c r="J543">
        <v>1.6</v>
      </c>
      <c r="L543">
        <v>0.35</v>
      </c>
      <c r="O543">
        <v>88</v>
      </c>
      <c r="P543">
        <v>138</v>
      </c>
      <c r="R543">
        <v>0.62</v>
      </c>
      <c r="S543">
        <v>1.4</v>
      </c>
      <c r="V543">
        <v>300</v>
      </c>
      <c r="X543" t="s">
        <v>60</v>
      </c>
    </row>
    <row r="544" spans="1:24">
      <c r="A544" t="str">
        <f>Hyperlink("https://www.diodes.com/part/view/DMN3190LDW","DMN3190LDW")</f>
        <v>DMN3190LDW</v>
      </c>
      <c r="B544" t="str">
        <f>Hyperlink("https://www.diodes.com/assets/Datasheets/DMN3190LDW.pdf","DMN3190LDW Datasheet")</f>
        <v>DMN3190LDW Datasheet</v>
      </c>
      <c r="C544" t="s">
        <v>34</v>
      </c>
      <c r="D544" t="s">
        <v>25</v>
      </c>
      <c r="E544" t="s">
        <v>26</v>
      </c>
      <c r="F544" t="s">
        <v>35</v>
      </c>
      <c r="G544" t="s">
        <v>25</v>
      </c>
      <c r="H544">
        <v>30</v>
      </c>
      <c r="I544">
        <v>20</v>
      </c>
      <c r="J544">
        <v>1</v>
      </c>
      <c r="L544">
        <v>0.4</v>
      </c>
      <c r="N544">
        <v>190</v>
      </c>
      <c r="O544">
        <v>335</v>
      </c>
      <c r="S544">
        <v>2.8</v>
      </c>
      <c r="T544">
        <v>0.9</v>
      </c>
      <c r="U544">
        <v>2</v>
      </c>
      <c r="V544">
        <v>87</v>
      </c>
      <c r="X544" t="s">
        <v>37</v>
      </c>
    </row>
    <row r="545" spans="1:24">
      <c r="A545" t="str">
        <f>Hyperlink("https://www.diodes.com/part/view/DMN3190LDWQ","DMN3190LDWQ")</f>
        <v>DMN3190LDWQ</v>
      </c>
      <c r="B545" t="str">
        <f>Hyperlink("https://www.diodes.com/assets/Datasheets/DMN3190LDWQ.pdf","DMN3190LDWQ Datasheet")</f>
        <v>DMN3190LDWQ Datasheet</v>
      </c>
      <c r="C545" t="s">
        <v>34</v>
      </c>
      <c r="D545" t="s">
        <v>25</v>
      </c>
      <c r="E545" t="s">
        <v>33</v>
      </c>
      <c r="F545" t="s">
        <v>35</v>
      </c>
      <c r="G545" t="s">
        <v>25</v>
      </c>
      <c r="H545">
        <v>30</v>
      </c>
      <c r="I545">
        <v>20</v>
      </c>
      <c r="J545">
        <v>1</v>
      </c>
      <c r="L545">
        <v>0.4</v>
      </c>
      <c r="N545">
        <v>190</v>
      </c>
      <c r="O545">
        <v>335</v>
      </c>
      <c r="S545">
        <v>2.8</v>
      </c>
      <c r="T545">
        <v>0.9</v>
      </c>
      <c r="U545">
        <v>2</v>
      </c>
      <c r="V545">
        <v>87</v>
      </c>
      <c r="W545">
        <v>20</v>
      </c>
      <c r="X545" t="s">
        <v>37</v>
      </c>
    </row>
    <row r="546" spans="1:24">
      <c r="A546" t="str">
        <f>Hyperlink("https://www.diodes.com/part/view/DMN31D4UFZ","DMN31D4UFZ")</f>
        <v>DMN31D4UFZ</v>
      </c>
      <c r="B546" t="str">
        <f>Hyperlink("https://www.diodes.com/assets/Datasheets/DMN31D4UFZ.pdf","DMN31D4UFZ Datasheet")</f>
        <v>DMN31D4UFZ Datasheet</v>
      </c>
      <c r="C546" t="s">
        <v>605</v>
      </c>
      <c r="D546" t="s">
        <v>28</v>
      </c>
      <c r="E546" t="s">
        <v>26</v>
      </c>
      <c r="F546" t="s">
        <v>27</v>
      </c>
      <c r="G546" t="s">
        <v>25</v>
      </c>
      <c r="H546">
        <v>30</v>
      </c>
      <c r="I546">
        <v>12</v>
      </c>
      <c r="J546">
        <v>0.31</v>
      </c>
      <c r="L546">
        <v>0.3</v>
      </c>
      <c r="O546">
        <v>1500</v>
      </c>
      <c r="P546">
        <v>2000</v>
      </c>
      <c r="Q546">
        <v>3000</v>
      </c>
      <c r="R546">
        <v>0.4</v>
      </c>
      <c r="S546">
        <v>1</v>
      </c>
      <c r="T546">
        <v>0.3</v>
      </c>
      <c r="V546">
        <v>15.4</v>
      </c>
      <c r="W546">
        <v>15</v>
      </c>
      <c r="X546" t="s">
        <v>651</v>
      </c>
    </row>
    <row r="547" spans="1:24">
      <c r="A547" t="str">
        <f>Hyperlink("https://www.diodes.com/part/view/DMN31D5L","DMN31D5L")</f>
        <v>DMN31D5L</v>
      </c>
      <c r="B547" t="str">
        <f>Hyperlink("https://www.diodes.com/assets/Datasheets/DMN31D5L.pdf","DMN31D5L Datasheet")</f>
        <v>DMN31D5L Datasheet</v>
      </c>
      <c r="C547" t="s">
        <v>24</v>
      </c>
      <c r="D547" t="s">
        <v>28</v>
      </c>
      <c r="E547" t="s">
        <v>26</v>
      </c>
      <c r="F547" t="s">
        <v>27</v>
      </c>
      <c r="G547" t="s">
        <v>25</v>
      </c>
      <c r="H547">
        <v>30</v>
      </c>
      <c r="I547">
        <v>20</v>
      </c>
      <c r="J547">
        <v>0.5</v>
      </c>
      <c r="L547">
        <v>0.52</v>
      </c>
      <c r="O547">
        <v>1500</v>
      </c>
      <c r="P547">
        <v>2000</v>
      </c>
      <c r="R547">
        <v>0.8</v>
      </c>
      <c r="S547">
        <v>1.6</v>
      </c>
      <c r="T547">
        <v>0.5</v>
      </c>
      <c r="U547">
        <v>1.2</v>
      </c>
      <c r="V547">
        <v>50</v>
      </c>
      <c r="W547">
        <v>15</v>
      </c>
      <c r="X547" t="s">
        <v>32</v>
      </c>
    </row>
    <row r="548" spans="1:24">
      <c r="A548" t="str">
        <f>Hyperlink("https://www.diodes.com/part/view/DMN31D5UDA","DMN31D5UDA")</f>
        <v>DMN31D5UDA</v>
      </c>
      <c r="B548" t="str">
        <f>Hyperlink("https://www.diodes.com/assets/Datasheets/DMN31D5UDA.pdf","DMN31D5UDA Datasheet")</f>
        <v>DMN31D5UDA Datasheet</v>
      </c>
      <c r="C548" t="s">
        <v>34</v>
      </c>
      <c r="D548" t="s">
        <v>28</v>
      </c>
      <c r="E548" t="s">
        <v>26</v>
      </c>
      <c r="F548" t="s">
        <v>35</v>
      </c>
      <c r="G548" t="s">
        <v>25</v>
      </c>
      <c r="H548">
        <v>30</v>
      </c>
      <c r="I548">
        <v>12</v>
      </c>
      <c r="J548">
        <v>0.4</v>
      </c>
      <c r="L548">
        <v>0.37</v>
      </c>
      <c r="O548">
        <v>1500</v>
      </c>
      <c r="P548">
        <v>2000</v>
      </c>
      <c r="Q548">
        <v>3000</v>
      </c>
      <c r="R548">
        <v>0.4</v>
      </c>
      <c r="S548">
        <v>1</v>
      </c>
      <c r="T548">
        <v>0.38</v>
      </c>
      <c r="V548">
        <v>22.6</v>
      </c>
      <c r="W548">
        <v>15</v>
      </c>
      <c r="X548" t="s">
        <v>225</v>
      </c>
    </row>
    <row r="549" spans="1:24">
      <c r="A549" t="str">
        <f>Hyperlink("https://www.diodes.com/part/view/DMN31D5UDAQ","DMN31D5UDAQ")</f>
        <v>DMN31D5UDAQ</v>
      </c>
      <c r="B549" t="str">
        <f>Hyperlink("https://www.diodes.com/assets/Datasheets/DMN31D5UDAQ.pdf","DMN31D5UDAQ Datasheet")</f>
        <v>DMN31D5UDAQ Datasheet</v>
      </c>
      <c r="C549" t="s">
        <v>690</v>
      </c>
      <c r="D549" t="s">
        <v>25</v>
      </c>
      <c r="E549" t="s">
        <v>33</v>
      </c>
      <c r="F549" t="s">
        <v>35</v>
      </c>
      <c r="G549" t="s">
        <v>25</v>
      </c>
      <c r="H549">
        <v>30</v>
      </c>
      <c r="I549">
        <v>12</v>
      </c>
      <c r="J549">
        <v>0.4</v>
      </c>
      <c r="L549">
        <v>0.37</v>
      </c>
      <c r="O549">
        <v>1500</v>
      </c>
      <c r="P549">
        <v>2000</v>
      </c>
      <c r="Q549">
        <v>3000</v>
      </c>
      <c r="R549">
        <v>0.4</v>
      </c>
      <c r="S549">
        <v>1</v>
      </c>
      <c r="T549">
        <v>0.38</v>
      </c>
      <c r="V549">
        <v>22.6</v>
      </c>
      <c r="W549">
        <v>15</v>
      </c>
      <c r="X549" t="s">
        <v>225</v>
      </c>
    </row>
    <row r="550" spans="1:24">
      <c r="A550" t="str">
        <f>Hyperlink("https://www.diodes.com/part/view/DMN31D5UDJ","DMN31D5UDJ")</f>
        <v>DMN31D5UDJ</v>
      </c>
      <c r="B550" t="str">
        <f>Hyperlink("https://www.diodes.com/assets/Datasheets/DMN31D5UDJ.pdf","DMN31D5UDJ Datasheet")</f>
        <v>DMN31D5UDJ Datasheet</v>
      </c>
      <c r="C550" t="s">
        <v>34</v>
      </c>
      <c r="D550" t="s">
        <v>28</v>
      </c>
      <c r="E550" t="s">
        <v>26</v>
      </c>
      <c r="F550" t="s">
        <v>35</v>
      </c>
      <c r="G550" t="s">
        <v>25</v>
      </c>
      <c r="H550">
        <v>30</v>
      </c>
      <c r="I550">
        <v>12</v>
      </c>
      <c r="J550">
        <v>0.22</v>
      </c>
      <c r="L550">
        <v>0.35</v>
      </c>
      <c r="O550">
        <v>1500</v>
      </c>
      <c r="P550">
        <v>2000</v>
      </c>
      <c r="Q550">
        <v>3000</v>
      </c>
      <c r="S550">
        <v>1</v>
      </c>
      <c r="T550">
        <v>0.38</v>
      </c>
      <c r="V550">
        <v>22.6</v>
      </c>
      <c r="W550">
        <v>15</v>
      </c>
      <c r="X550" t="s">
        <v>274</v>
      </c>
    </row>
    <row r="551" spans="1:24">
      <c r="A551" t="str">
        <f>Hyperlink("https://www.diodes.com/part/view/DMN31D5UDW","DMN31D5UDW")</f>
        <v>DMN31D5UDW</v>
      </c>
      <c r="B551" t="str">
        <f>Hyperlink("https://www.diodes.com/assets/Datasheets/DMN31D5UDW.pdf","DMN31D5UDW Datasheet")</f>
        <v>DMN31D5UDW Datasheet</v>
      </c>
      <c r="C551" t="s">
        <v>649</v>
      </c>
      <c r="D551" t="s">
        <v>28</v>
      </c>
      <c r="E551" t="s">
        <v>26</v>
      </c>
      <c r="F551" t="s">
        <v>35</v>
      </c>
      <c r="G551" t="s">
        <v>25</v>
      </c>
      <c r="H551">
        <v>30</v>
      </c>
      <c r="I551">
        <v>12</v>
      </c>
      <c r="J551">
        <v>0.43</v>
      </c>
      <c r="L551">
        <v>0.43</v>
      </c>
      <c r="O551">
        <v>1500</v>
      </c>
      <c r="P551">
        <v>2000</v>
      </c>
      <c r="Q551">
        <v>3000</v>
      </c>
      <c r="R551">
        <v>0.5</v>
      </c>
      <c r="S551">
        <v>0.9</v>
      </c>
      <c r="T551">
        <v>0.3</v>
      </c>
      <c r="V551">
        <v>15.4</v>
      </c>
      <c r="W551">
        <v>15</v>
      </c>
      <c r="X551" t="s">
        <v>37</v>
      </c>
    </row>
    <row r="552" spans="1:24">
      <c r="A552" t="str">
        <f>Hyperlink("https://www.diodes.com/part/view/DMN31D5UFA","DMN31D5UFA")</f>
        <v>DMN31D5UFA</v>
      </c>
      <c r="B552" t="str">
        <f>Hyperlink("https://www.diodes.com/assets/Datasheets/DMN31D5UFA.pdf","DMN31D5UFA Datasheet")</f>
        <v>DMN31D5UFA Datasheet</v>
      </c>
      <c r="C552" t="s">
        <v>605</v>
      </c>
      <c r="D552" t="s">
        <v>28</v>
      </c>
      <c r="E552" t="s">
        <v>26</v>
      </c>
      <c r="F552" t="s">
        <v>27</v>
      </c>
      <c r="G552" t="s">
        <v>25</v>
      </c>
      <c r="H552">
        <v>30</v>
      </c>
      <c r="I552">
        <v>12</v>
      </c>
      <c r="J552">
        <v>0.4</v>
      </c>
      <c r="L552">
        <v>0.38</v>
      </c>
      <c r="O552">
        <v>1500</v>
      </c>
      <c r="P552">
        <v>2000</v>
      </c>
      <c r="Q552">
        <v>3000</v>
      </c>
      <c r="R552">
        <v>0.4</v>
      </c>
      <c r="S552">
        <v>1</v>
      </c>
      <c r="T552">
        <v>0.3</v>
      </c>
      <c r="V552">
        <v>15.4</v>
      </c>
      <c r="W552">
        <v>15</v>
      </c>
      <c r="X552" t="s">
        <v>595</v>
      </c>
    </row>
    <row r="553" spans="1:24">
      <c r="A553" t="str">
        <f>Hyperlink("https://www.diodes.com/part/view/DMN31D5UFO","DMN31D5UFO")</f>
        <v>DMN31D5UFO</v>
      </c>
      <c r="B553" t="str">
        <f>Hyperlink("https://www.diodes.com/assets/Datasheets/DMN31D5UFO.pdf","DMN31D5UFO Datasheet")</f>
        <v>DMN31D5UFO Datasheet</v>
      </c>
      <c r="C553" t="s">
        <v>504</v>
      </c>
      <c r="D553" t="s">
        <v>28</v>
      </c>
      <c r="E553" t="s">
        <v>26</v>
      </c>
      <c r="F553" t="s">
        <v>27</v>
      </c>
      <c r="G553" t="s">
        <v>25</v>
      </c>
      <c r="H553">
        <v>30</v>
      </c>
      <c r="I553">
        <v>12</v>
      </c>
      <c r="J553">
        <v>0.41</v>
      </c>
      <c r="L553">
        <v>0.38</v>
      </c>
      <c r="O553">
        <v>1500</v>
      </c>
      <c r="P553">
        <v>2000</v>
      </c>
      <c r="Q553">
        <v>3000</v>
      </c>
      <c r="S553">
        <v>1</v>
      </c>
      <c r="T553">
        <v>0.38</v>
      </c>
      <c r="V553">
        <v>22.6</v>
      </c>
      <c r="W553">
        <v>15</v>
      </c>
      <c r="X553" t="s">
        <v>650</v>
      </c>
    </row>
    <row r="554" spans="1:24">
      <c r="A554" t="str">
        <f>Hyperlink("https://www.diodes.com/part/view/DMN31D5UFZ","DMN31D5UFZ")</f>
        <v>DMN31D5UFZ</v>
      </c>
      <c r="B554" t="str">
        <f>Hyperlink("https://www.diodes.com/assets/Datasheets/DMN31D5UFZ.pdf","DMN31D5UFZ Datasheet")</f>
        <v>DMN31D5UFZ Datasheet</v>
      </c>
      <c r="C554" t="s">
        <v>24</v>
      </c>
      <c r="D554" t="s">
        <v>25</v>
      </c>
      <c r="E554" t="s">
        <v>26</v>
      </c>
      <c r="F554" t="s">
        <v>27</v>
      </c>
      <c r="G554" t="s">
        <v>25</v>
      </c>
      <c r="H554">
        <v>30</v>
      </c>
      <c r="I554">
        <v>12</v>
      </c>
      <c r="J554">
        <v>0.22</v>
      </c>
      <c r="L554">
        <v>0.39</v>
      </c>
      <c r="O554">
        <v>1500</v>
      </c>
      <c r="P554">
        <v>2000</v>
      </c>
      <c r="Q554">
        <v>3000</v>
      </c>
      <c r="S554">
        <v>1</v>
      </c>
      <c r="T554">
        <v>0.35</v>
      </c>
      <c r="V554">
        <v>22.2</v>
      </c>
      <c r="X554" t="s">
        <v>651</v>
      </c>
    </row>
    <row r="555" spans="1:24">
      <c r="A555" t="str">
        <f>Hyperlink("https://www.diodes.com/part/view/DMN31D5UFZQ","DMN31D5UFZQ")</f>
        <v>DMN31D5UFZQ</v>
      </c>
      <c r="B555" t="str">
        <f>Hyperlink("https://www.diodes.com/assets/Datasheets/DMN31D5UFZQ.pdf","DMN31D5UFZQ Datasheet")</f>
        <v>DMN31D5UFZQ Datasheet</v>
      </c>
      <c r="C555" t="s">
        <v>24</v>
      </c>
      <c r="D555" t="s">
        <v>25</v>
      </c>
      <c r="E555" t="s">
        <v>33</v>
      </c>
      <c r="F555" t="s">
        <v>27</v>
      </c>
      <c r="G555" t="s">
        <v>25</v>
      </c>
      <c r="H555">
        <v>30</v>
      </c>
      <c r="I555">
        <v>12</v>
      </c>
      <c r="J555">
        <v>0.41</v>
      </c>
      <c r="L555">
        <v>0.4</v>
      </c>
      <c r="O555">
        <v>1500</v>
      </c>
      <c r="P555">
        <v>2000</v>
      </c>
      <c r="Q555">
        <v>3000</v>
      </c>
      <c r="S555">
        <v>1</v>
      </c>
      <c r="T555">
        <v>0.38</v>
      </c>
      <c r="V555">
        <v>22.6</v>
      </c>
      <c r="W555">
        <v>15</v>
      </c>
      <c r="X555" t="s">
        <v>651</v>
      </c>
    </row>
    <row r="556" spans="1:24">
      <c r="A556" t="str">
        <f>Hyperlink("https://www.diodes.com/part/view/DMN31D6UT","DMN31D6UT")</f>
        <v>DMN31D6UT</v>
      </c>
      <c r="B556" t="str">
        <f>Hyperlink("https://www.diodes.com/assets/Datasheets/DMN31D6UT.pdf","DMN31D6UT Datasheet")</f>
        <v>DMN31D6UT Datasheet</v>
      </c>
      <c r="C556" t="s">
        <v>40</v>
      </c>
      <c r="D556" t="s">
        <v>25</v>
      </c>
      <c r="E556" t="s">
        <v>26</v>
      </c>
      <c r="F556" t="s">
        <v>27</v>
      </c>
      <c r="G556" t="s">
        <v>25</v>
      </c>
      <c r="H556">
        <v>30</v>
      </c>
      <c r="I556">
        <v>12</v>
      </c>
      <c r="J556">
        <v>0.35</v>
      </c>
      <c r="L556">
        <v>0.32</v>
      </c>
      <c r="O556">
        <v>1500</v>
      </c>
      <c r="P556">
        <v>2000</v>
      </c>
      <c r="S556">
        <v>1.4</v>
      </c>
      <c r="T556">
        <v>0.35</v>
      </c>
      <c r="V556">
        <v>13.6</v>
      </c>
      <c r="W556">
        <v>15</v>
      </c>
      <c r="X556" t="s">
        <v>41</v>
      </c>
    </row>
    <row r="557" spans="1:24">
      <c r="A557" t="str">
        <f>Hyperlink("https://www.diodes.com/part/view/DMN3200U","DMN3200U")</f>
        <v>DMN3200U</v>
      </c>
      <c r="B557" t="str">
        <f>Hyperlink("https://www.diodes.com/assets/Datasheets/ds31188.pdf","DMN3200U Datasheet")</f>
        <v>DMN3200U Datasheet</v>
      </c>
      <c r="C557" t="s">
        <v>24</v>
      </c>
      <c r="D557" t="s">
        <v>25</v>
      </c>
      <c r="E557" t="s">
        <v>26</v>
      </c>
      <c r="F557" t="s">
        <v>27</v>
      </c>
      <c r="G557" t="s">
        <v>25</v>
      </c>
      <c r="H557">
        <v>30</v>
      </c>
      <c r="I557">
        <v>8</v>
      </c>
      <c r="J557">
        <v>2.2</v>
      </c>
      <c r="L557">
        <v>0.65</v>
      </c>
      <c r="O557">
        <v>90</v>
      </c>
      <c r="P557">
        <v>110</v>
      </c>
      <c r="Q557" t="s">
        <v>691</v>
      </c>
      <c r="S557">
        <v>1</v>
      </c>
      <c r="V557">
        <v>290</v>
      </c>
      <c r="X557" t="s">
        <v>32</v>
      </c>
    </row>
    <row r="558" spans="1:24">
      <c r="A558" t="str">
        <f>Hyperlink("https://www.diodes.com/part/view/DMN3270UVT","DMN3270UVT")</f>
        <v>DMN3270UVT</v>
      </c>
      <c r="B558" t="str">
        <f>Hyperlink("https://www.diodes.com/assets/Datasheets/DMN3270UVT.pdf","DMN3270UVT Datasheet")</f>
        <v>DMN3270UVT Datasheet</v>
      </c>
      <c r="C558" t="s">
        <v>504</v>
      </c>
      <c r="D558" t="s">
        <v>28</v>
      </c>
      <c r="E558" t="s">
        <v>26</v>
      </c>
      <c r="F558" t="s">
        <v>35</v>
      </c>
      <c r="G558" t="s">
        <v>28</v>
      </c>
      <c r="H558">
        <v>30</v>
      </c>
      <c r="I558" t="s">
        <v>692</v>
      </c>
      <c r="J558">
        <v>1.6</v>
      </c>
      <c r="L558">
        <v>1.08</v>
      </c>
      <c r="O558">
        <v>270</v>
      </c>
      <c r="P558">
        <v>350</v>
      </c>
      <c r="S558">
        <v>0.9</v>
      </c>
      <c r="T558">
        <v>3.07</v>
      </c>
      <c r="V558">
        <v>161</v>
      </c>
      <c r="W558">
        <v>15</v>
      </c>
      <c r="X558" t="s">
        <v>128</v>
      </c>
    </row>
    <row r="559" spans="1:24">
      <c r="A559" t="str">
        <f>Hyperlink("https://www.diodes.com/part/view/DMN32D0LFB4","DMN32D0LFB4")</f>
        <v>DMN32D0LFB4</v>
      </c>
      <c r="B559" t="str">
        <f>Hyperlink("https://www.diodes.com/assets/Datasheets/DMN32D0LFB4.pdf","DMN32D0LFB4 Datasheet")</f>
        <v>DMN32D0LFB4 Datasheet</v>
      </c>
      <c r="C559" t="s">
        <v>24</v>
      </c>
      <c r="D559" t="s">
        <v>28</v>
      </c>
      <c r="E559" t="s">
        <v>26</v>
      </c>
      <c r="F559" t="s">
        <v>27</v>
      </c>
      <c r="G559" t="s">
        <v>25</v>
      </c>
      <c r="H559">
        <v>30</v>
      </c>
      <c r="I559">
        <v>10</v>
      </c>
      <c r="J559">
        <v>0.44</v>
      </c>
      <c r="L559">
        <v>0.35</v>
      </c>
      <c r="O559">
        <v>1200</v>
      </c>
      <c r="P559">
        <v>1500</v>
      </c>
      <c r="Q559">
        <v>2200</v>
      </c>
      <c r="S559">
        <v>1.2</v>
      </c>
      <c r="T559">
        <v>0.6</v>
      </c>
      <c r="V559">
        <v>44.8</v>
      </c>
      <c r="W559">
        <v>15</v>
      </c>
      <c r="X559" t="s">
        <v>615</v>
      </c>
    </row>
    <row r="560" spans="1:24">
      <c r="A560" t="str">
        <f>Hyperlink("https://www.diodes.com/part/view/DMN32D0LV","DMN32D0LV")</f>
        <v>DMN32D0LV</v>
      </c>
      <c r="B560" t="str">
        <f>Hyperlink("https://www.diodes.com/assets/Datasheets/DMN32D0LV.pdf","DMN32D0LV Datasheet")</f>
        <v>DMN32D0LV Datasheet</v>
      </c>
      <c r="C560" t="s">
        <v>693</v>
      </c>
      <c r="D560" t="s">
        <v>28</v>
      </c>
      <c r="E560" t="s">
        <v>26</v>
      </c>
      <c r="F560" t="s">
        <v>35</v>
      </c>
      <c r="G560" t="s">
        <v>25</v>
      </c>
      <c r="H560">
        <v>30</v>
      </c>
      <c r="I560">
        <v>10</v>
      </c>
      <c r="J560">
        <v>0.68</v>
      </c>
      <c r="L560">
        <v>0.48</v>
      </c>
      <c r="O560">
        <v>1200</v>
      </c>
      <c r="P560">
        <v>1500</v>
      </c>
      <c r="Q560">
        <v>2200</v>
      </c>
      <c r="R560">
        <v>0.6</v>
      </c>
      <c r="S560">
        <v>1.2</v>
      </c>
      <c r="T560">
        <v>0.62</v>
      </c>
      <c r="V560">
        <v>44.8</v>
      </c>
      <c r="W560">
        <v>15</v>
      </c>
      <c r="X560" t="s">
        <v>43</v>
      </c>
    </row>
    <row r="561" spans="1:24">
      <c r="A561" t="str">
        <f>Hyperlink("https://www.diodes.com/part/view/DMN32D0LVQ","DMN32D0LVQ")</f>
        <v>DMN32D0LVQ</v>
      </c>
      <c r="B561" t="str">
        <f>Hyperlink("https://www.diodes.com/assets/Datasheets/DMN32D0LVQ.pdf","DMN32D0LVQ Datasheet")</f>
        <v>DMN32D0LVQ Datasheet</v>
      </c>
      <c r="C561" t="s">
        <v>693</v>
      </c>
      <c r="D561" t="s">
        <v>25</v>
      </c>
      <c r="E561" t="s">
        <v>33</v>
      </c>
      <c r="F561" t="s">
        <v>35</v>
      </c>
      <c r="G561" t="s">
        <v>25</v>
      </c>
      <c r="H561">
        <v>30</v>
      </c>
      <c r="I561">
        <v>10</v>
      </c>
      <c r="J561">
        <v>0.68</v>
      </c>
      <c r="L561">
        <v>0.48</v>
      </c>
      <c r="O561">
        <v>1200</v>
      </c>
      <c r="P561">
        <v>1500</v>
      </c>
      <c r="Q561">
        <v>2200</v>
      </c>
      <c r="R561">
        <v>0.6</v>
      </c>
      <c r="S561">
        <v>1.2</v>
      </c>
      <c r="T561">
        <v>0.62</v>
      </c>
      <c r="V561">
        <v>44.8</v>
      </c>
      <c r="W561">
        <v>15</v>
      </c>
      <c r="X561" t="s">
        <v>43</v>
      </c>
    </row>
    <row r="562" spans="1:24">
      <c r="A562" t="str">
        <f>Hyperlink("https://www.diodes.com/part/view/DMN32D2LDF","DMN32D2LDF")</f>
        <v>DMN32D2LDF</v>
      </c>
      <c r="B562" t="str">
        <f>Hyperlink("https://www.diodes.com/assets/Datasheets/ds31238.pdf","DMN32D2LDF Datasheet")</f>
        <v>DMN32D2LDF Datasheet</v>
      </c>
      <c r="C562" t="s">
        <v>694</v>
      </c>
      <c r="D562" t="s">
        <v>25</v>
      </c>
      <c r="E562" t="s">
        <v>26</v>
      </c>
      <c r="F562" t="s">
        <v>35</v>
      </c>
      <c r="G562" t="s">
        <v>25</v>
      </c>
      <c r="H562">
        <v>30</v>
      </c>
      <c r="I562">
        <v>10</v>
      </c>
      <c r="J562">
        <v>0.4</v>
      </c>
      <c r="L562">
        <v>0.28</v>
      </c>
      <c r="O562">
        <v>1200</v>
      </c>
      <c r="P562">
        <v>1500</v>
      </c>
      <c r="Q562">
        <v>2200</v>
      </c>
      <c r="S562">
        <v>1.2</v>
      </c>
      <c r="V562">
        <v>39</v>
      </c>
      <c r="X562" t="s">
        <v>695</v>
      </c>
    </row>
    <row r="563" spans="1:24">
      <c r="A563" t="str">
        <f>Hyperlink("https://www.diodes.com/part/view/DMN32D2LFB4","DMN32D2LFB4")</f>
        <v>DMN32D2LFB4</v>
      </c>
      <c r="B563" t="str">
        <f>Hyperlink("https://www.diodes.com/assets/Datasheets/ds31124.pdf","DMN32D2LFB4 Datasheet")</f>
        <v>DMN32D2LFB4 Datasheet</v>
      </c>
      <c r="C563" t="s">
        <v>24</v>
      </c>
      <c r="D563" t="s">
        <v>25</v>
      </c>
      <c r="E563" t="s">
        <v>26</v>
      </c>
      <c r="F563" t="s">
        <v>27</v>
      </c>
      <c r="G563" t="s">
        <v>25</v>
      </c>
      <c r="H563">
        <v>30</v>
      </c>
      <c r="I563">
        <v>10</v>
      </c>
      <c r="J563">
        <v>0.42</v>
      </c>
      <c r="L563">
        <v>0.35</v>
      </c>
      <c r="O563">
        <v>1200</v>
      </c>
      <c r="P563">
        <v>1500</v>
      </c>
      <c r="Q563">
        <v>2200</v>
      </c>
      <c r="S563">
        <v>1.2</v>
      </c>
      <c r="V563">
        <v>39</v>
      </c>
      <c r="X563" t="s">
        <v>615</v>
      </c>
    </row>
    <row r="564" spans="1:24">
      <c r="A564" t="str">
        <f>Hyperlink("https://www.diodes.com/part/view/DMN32D4SDW","DMN32D4SDW")</f>
        <v>DMN32D4SDW</v>
      </c>
      <c r="B564" t="str">
        <f>Hyperlink("https://www.diodes.com/assets/Datasheets/DMN32D4SDW.pdf","DMN32D4SDW Datasheet")</f>
        <v>DMN32D4SDW Datasheet</v>
      </c>
      <c r="C564" t="s">
        <v>34</v>
      </c>
      <c r="D564" t="s">
        <v>28</v>
      </c>
      <c r="E564" t="s">
        <v>26</v>
      </c>
      <c r="F564" t="s">
        <v>35</v>
      </c>
      <c r="G564" t="s">
        <v>25</v>
      </c>
      <c r="H564">
        <v>30</v>
      </c>
      <c r="I564">
        <v>20</v>
      </c>
      <c r="J564">
        <v>0.65</v>
      </c>
      <c r="L564">
        <v>0.35</v>
      </c>
      <c r="N564">
        <v>400</v>
      </c>
      <c r="O564">
        <v>700</v>
      </c>
      <c r="S564">
        <v>1.6</v>
      </c>
      <c r="T564">
        <v>0.6</v>
      </c>
      <c r="U564">
        <v>1.3</v>
      </c>
      <c r="V564">
        <v>50</v>
      </c>
      <c r="W564">
        <v>15</v>
      </c>
      <c r="X564" t="s">
        <v>37</v>
      </c>
    </row>
    <row r="565" spans="1:24">
      <c r="A565" t="str">
        <f>Hyperlink("https://www.diodes.com/part/view/DMN32M6LCA8","DMN32M6LCA8")</f>
        <v>DMN32M6LCA8</v>
      </c>
      <c r="B565" t="str">
        <f>Hyperlink("https://www.diodes.com/assets/Datasheets/DMN32M6LCA8.pdf","DMN32M6LCA8 Datasheet")</f>
        <v>DMN32M6LCA8 Datasheet</v>
      </c>
      <c r="C565" t="s">
        <v>605</v>
      </c>
      <c r="D565" t="s">
        <v>28</v>
      </c>
      <c r="E565" t="s">
        <v>26</v>
      </c>
      <c r="F565" t="s">
        <v>27</v>
      </c>
      <c r="G565" t="s">
        <v>25</v>
      </c>
      <c r="H565">
        <v>30</v>
      </c>
      <c r="I565">
        <v>20</v>
      </c>
      <c r="J565">
        <v>30</v>
      </c>
      <c r="L565">
        <v>3.2</v>
      </c>
      <c r="N565">
        <v>2.6</v>
      </c>
      <c r="O565">
        <v>5.1</v>
      </c>
      <c r="R565">
        <v>1.3</v>
      </c>
      <c r="S565">
        <v>2.2</v>
      </c>
      <c r="T565">
        <v>42.7</v>
      </c>
      <c r="V565">
        <v>2780</v>
      </c>
      <c r="W565">
        <v>15</v>
      </c>
      <c r="X565" t="s">
        <v>696</v>
      </c>
    </row>
    <row r="566" spans="1:24">
      <c r="A566" t="str">
        <f>Hyperlink("https://www.diodes.com/part/view/DMN3300U","DMN3300U")</f>
        <v>DMN3300U</v>
      </c>
      <c r="B566" t="str">
        <f>Hyperlink("https://www.diodes.com/assets/Datasheets/ds31181.pdf","DMN3300U Datasheet")</f>
        <v>DMN3300U Datasheet</v>
      </c>
      <c r="C566" t="s">
        <v>24</v>
      </c>
      <c r="D566" t="s">
        <v>25</v>
      </c>
      <c r="E566" t="s">
        <v>26</v>
      </c>
      <c r="F566" t="s">
        <v>27</v>
      </c>
      <c r="G566" t="s">
        <v>28</v>
      </c>
      <c r="H566">
        <v>30</v>
      </c>
      <c r="I566">
        <v>12</v>
      </c>
      <c r="J566">
        <v>2</v>
      </c>
      <c r="L566">
        <v>1.3</v>
      </c>
      <c r="O566">
        <v>150</v>
      </c>
      <c r="P566">
        <v>200</v>
      </c>
      <c r="Q566">
        <v>250</v>
      </c>
      <c r="S566">
        <v>1</v>
      </c>
      <c r="V566">
        <v>193</v>
      </c>
      <c r="X566" t="s">
        <v>32</v>
      </c>
    </row>
    <row r="567" spans="1:24">
      <c r="A567" t="str">
        <f>Hyperlink("https://www.diodes.com/part/view/DMN3300UQ","DMN3300UQ")</f>
        <v>DMN3300UQ</v>
      </c>
      <c r="B567" t="str">
        <f>Hyperlink("https://www.diodes.com/assets/Datasheets/DMN3300UQ.pdf","DMN3300UQ Datasheet")</f>
        <v>DMN3300UQ Datasheet</v>
      </c>
      <c r="C567" t="s">
        <v>24</v>
      </c>
      <c r="D567" t="s">
        <v>25</v>
      </c>
      <c r="E567" t="s">
        <v>33</v>
      </c>
      <c r="F567" t="s">
        <v>27</v>
      </c>
      <c r="G567" t="s">
        <v>28</v>
      </c>
      <c r="H567">
        <v>30</v>
      </c>
      <c r="I567">
        <v>12</v>
      </c>
      <c r="J567">
        <v>2</v>
      </c>
      <c r="L567">
        <v>1.3</v>
      </c>
      <c r="O567">
        <v>150</v>
      </c>
      <c r="P567">
        <v>200</v>
      </c>
      <c r="Q567">
        <v>250</v>
      </c>
      <c r="S567">
        <v>1</v>
      </c>
      <c r="V567">
        <v>193</v>
      </c>
      <c r="W567">
        <v>10</v>
      </c>
      <c r="X567" t="s">
        <v>32</v>
      </c>
    </row>
    <row r="568" spans="1:24">
      <c r="A568" t="str">
        <f>Hyperlink("https://www.diodes.com/part/view/DMN3350LDW","DMN3350LDW")</f>
        <v>DMN3350LDW</v>
      </c>
      <c r="B568" t="str">
        <f>Hyperlink("https://www.diodes.com/assets/Datasheets/DMN3350LDW.pdf","DMN3350LDW Datasheet")</f>
        <v>DMN3350LDW Datasheet</v>
      </c>
      <c r="C568" t="s">
        <v>649</v>
      </c>
      <c r="D568" t="s">
        <v>28</v>
      </c>
      <c r="E568" t="s">
        <v>26</v>
      </c>
      <c r="F568" t="s">
        <v>35</v>
      </c>
      <c r="G568" t="s">
        <v>25</v>
      </c>
      <c r="H568">
        <v>30</v>
      </c>
      <c r="I568">
        <v>20</v>
      </c>
      <c r="J568">
        <v>0.89</v>
      </c>
      <c r="L568">
        <v>0.48</v>
      </c>
      <c r="N568">
        <v>400</v>
      </c>
      <c r="O568">
        <v>700</v>
      </c>
      <c r="R568">
        <v>0.8</v>
      </c>
      <c r="S568">
        <v>1.6</v>
      </c>
      <c r="T568">
        <v>1.1</v>
      </c>
      <c r="V568">
        <v>38.4</v>
      </c>
      <c r="W568">
        <v>15</v>
      </c>
      <c r="X568" t="s">
        <v>37</v>
      </c>
    </row>
    <row r="569" spans="1:24">
      <c r="A569" t="str">
        <f>Hyperlink("https://www.diodes.com/part/view/DMN3350LDWQ","DMN3350LDWQ")</f>
        <v>DMN3350LDWQ</v>
      </c>
      <c r="B569" t="str">
        <f>Hyperlink("https://www.diodes.com/assets/Datasheets/DMN3350LDWQ.pdf","DMN3350LDWQ Datasheet")</f>
        <v>DMN3350LDWQ Datasheet</v>
      </c>
      <c r="C569" t="s">
        <v>649</v>
      </c>
      <c r="D569" t="s">
        <v>25</v>
      </c>
      <c r="E569" t="s">
        <v>33</v>
      </c>
      <c r="F569" t="s">
        <v>35</v>
      </c>
      <c r="G569" t="s">
        <v>25</v>
      </c>
      <c r="H569">
        <v>30</v>
      </c>
      <c r="I569">
        <v>20</v>
      </c>
      <c r="J569">
        <v>0.89</v>
      </c>
      <c r="L569">
        <v>0.48</v>
      </c>
      <c r="N569">
        <v>400</v>
      </c>
      <c r="O569">
        <v>700</v>
      </c>
      <c r="R569">
        <v>0.8</v>
      </c>
      <c r="S569">
        <v>1.6</v>
      </c>
      <c r="T569">
        <v>1.1</v>
      </c>
      <c r="V569">
        <v>38.4</v>
      </c>
      <c r="W569">
        <v>15</v>
      </c>
      <c r="X569" t="s">
        <v>37</v>
      </c>
    </row>
    <row r="570" spans="1:24">
      <c r="A570" t="str">
        <f>Hyperlink("https://www.diodes.com/part/view/DMN3350LFB","DMN3350LFB")</f>
        <v>DMN3350LFB</v>
      </c>
      <c r="B570" t="str">
        <f>Hyperlink("https://www.diodes.com/assets/Datasheets/DMN3350LFB.pdf","DMN3350LFB Datasheet")</f>
        <v>DMN3350LFB Datasheet</v>
      </c>
      <c r="C570" t="s">
        <v>605</v>
      </c>
      <c r="D570" t="s">
        <v>28</v>
      </c>
      <c r="E570" t="s">
        <v>26</v>
      </c>
      <c r="F570" t="s">
        <v>27</v>
      </c>
      <c r="G570" t="s">
        <v>25</v>
      </c>
      <c r="H570">
        <v>30</v>
      </c>
      <c r="I570">
        <v>20</v>
      </c>
      <c r="J570">
        <v>1.6</v>
      </c>
      <c r="L570">
        <v>1.3</v>
      </c>
      <c r="N570">
        <v>350</v>
      </c>
      <c r="O570">
        <v>559</v>
      </c>
      <c r="R570">
        <v>0.8</v>
      </c>
      <c r="S570">
        <v>1.6</v>
      </c>
      <c r="T570">
        <v>1.1</v>
      </c>
      <c r="V570">
        <v>38.4</v>
      </c>
      <c r="W570">
        <v>15</v>
      </c>
      <c r="X570" t="s">
        <v>592</v>
      </c>
    </row>
    <row r="571" spans="1:24">
      <c r="A571" t="str">
        <f>Hyperlink("https://www.diodes.com/part/view/DMN33D8L","DMN33D8L")</f>
        <v>DMN33D8L</v>
      </c>
      <c r="B571" t="str">
        <f>Hyperlink("https://www.diodes.com/assets/Datasheets/DMN33D8L.pdf","DMN33D8L Datasheet")</f>
        <v>DMN33D8L Datasheet</v>
      </c>
      <c r="C571" t="s">
        <v>24</v>
      </c>
      <c r="D571" t="s">
        <v>25</v>
      </c>
      <c r="E571" t="s">
        <v>26</v>
      </c>
      <c r="F571" t="s">
        <v>27</v>
      </c>
      <c r="G571" t="s">
        <v>25</v>
      </c>
      <c r="H571">
        <v>30</v>
      </c>
      <c r="I571">
        <v>20</v>
      </c>
      <c r="J571">
        <v>0.25</v>
      </c>
      <c r="L571">
        <v>0.52</v>
      </c>
      <c r="N571">
        <v>3000</v>
      </c>
      <c r="O571" t="s">
        <v>697</v>
      </c>
      <c r="S571">
        <v>2.5</v>
      </c>
      <c r="U571">
        <v>1.2</v>
      </c>
      <c r="V571">
        <v>50</v>
      </c>
      <c r="X571" t="s">
        <v>32</v>
      </c>
    </row>
    <row r="572" spans="1:24">
      <c r="A572" t="str">
        <f>Hyperlink("https://www.diodes.com/part/view/DMN33D8LDW","DMN33D8LDW")</f>
        <v>DMN33D8LDW</v>
      </c>
      <c r="B572" t="str">
        <f>Hyperlink("https://www.diodes.com/assets/Datasheets/DMN33D8LDW.pdf","DMN33D8LDW Datasheet")</f>
        <v>DMN33D8LDW Datasheet</v>
      </c>
      <c r="C572" t="s">
        <v>34</v>
      </c>
      <c r="D572" t="s">
        <v>25</v>
      </c>
      <c r="E572" t="s">
        <v>26</v>
      </c>
      <c r="F572" t="s">
        <v>35</v>
      </c>
      <c r="G572" t="s">
        <v>25</v>
      </c>
      <c r="H572">
        <v>30</v>
      </c>
      <c r="I572">
        <v>20</v>
      </c>
      <c r="J572">
        <v>0.25</v>
      </c>
      <c r="L572">
        <v>0.35</v>
      </c>
      <c r="N572">
        <v>2400</v>
      </c>
      <c r="O572">
        <v>3000</v>
      </c>
      <c r="P572">
        <v>7000</v>
      </c>
      <c r="S572">
        <v>1.5</v>
      </c>
      <c r="T572">
        <v>0.55</v>
      </c>
      <c r="U572">
        <v>1.23</v>
      </c>
      <c r="V572">
        <v>48</v>
      </c>
      <c r="X572" t="s">
        <v>37</v>
      </c>
    </row>
    <row r="573" spans="1:24">
      <c r="A573" t="str">
        <f>Hyperlink("https://www.diodes.com/part/view/DMN33D8LDWQ","DMN33D8LDWQ")</f>
        <v>DMN33D8LDWQ</v>
      </c>
      <c r="B573" t="str">
        <f>Hyperlink("https://www.diodes.com/assets/Datasheets/DMN33D8LDWQ.pdf","DMN33D8LDWQ Datasheet")</f>
        <v>DMN33D8LDWQ Datasheet</v>
      </c>
      <c r="C573" t="s">
        <v>34</v>
      </c>
      <c r="D573" t="s">
        <v>25</v>
      </c>
      <c r="E573" t="s">
        <v>33</v>
      </c>
      <c r="F573" t="s">
        <v>35</v>
      </c>
      <c r="G573" t="s">
        <v>25</v>
      </c>
      <c r="H573">
        <v>30</v>
      </c>
      <c r="I573">
        <v>20</v>
      </c>
      <c r="J573">
        <v>0.25</v>
      </c>
      <c r="L573">
        <v>0.35</v>
      </c>
      <c r="N573">
        <v>2400</v>
      </c>
      <c r="O573">
        <v>3000</v>
      </c>
      <c r="P573">
        <v>7000</v>
      </c>
      <c r="S573">
        <v>1.5</v>
      </c>
      <c r="T573">
        <v>0.55</v>
      </c>
      <c r="U573">
        <v>1.23</v>
      </c>
      <c r="V573">
        <v>48</v>
      </c>
      <c r="W573">
        <v>5</v>
      </c>
      <c r="X573" t="s">
        <v>37</v>
      </c>
    </row>
    <row r="574" spans="1:24">
      <c r="A574" t="str">
        <f>Hyperlink("https://www.diodes.com/part/view/DMN33D8LT","DMN33D8LT")</f>
        <v>DMN33D8LT</v>
      </c>
      <c r="B574" t="str">
        <f>Hyperlink("https://www.diodes.com/assets/Datasheets/DMN33D8LT.pdf","DMN33D8LT Datasheet")</f>
        <v>DMN33D8LT Datasheet</v>
      </c>
      <c r="C574" t="s">
        <v>24</v>
      </c>
      <c r="D574" t="s">
        <v>25</v>
      </c>
      <c r="E574" t="s">
        <v>26</v>
      </c>
      <c r="F574" t="s">
        <v>27</v>
      </c>
      <c r="G574" t="s">
        <v>25</v>
      </c>
      <c r="H574">
        <v>30</v>
      </c>
      <c r="I574">
        <v>20</v>
      </c>
      <c r="J574">
        <v>0.2</v>
      </c>
      <c r="L574">
        <v>0.3</v>
      </c>
      <c r="O574" t="s">
        <v>698</v>
      </c>
      <c r="P574">
        <v>7000</v>
      </c>
      <c r="S574">
        <v>1.5</v>
      </c>
      <c r="T574">
        <v>0.55</v>
      </c>
      <c r="U574">
        <v>1.23</v>
      </c>
      <c r="V574">
        <v>48</v>
      </c>
      <c r="X574" t="s">
        <v>41</v>
      </c>
    </row>
    <row r="575" spans="1:24">
      <c r="A575" t="str">
        <f>Hyperlink("https://www.diodes.com/part/view/DMN33D8LTQ","DMN33D8LTQ")</f>
        <v>DMN33D8LTQ</v>
      </c>
      <c r="B575" t="str">
        <f>Hyperlink("https://www.diodes.com/assets/Datasheets/DMN33D8LTQ.pdf","DMN33D8LTQ Datasheet")</f>
        <v>DMN33D8LTQ Datasheet</v>
      </c>
      <c r="C575" t="s">
        <v>24</v>
      </c>
      <c r="D575" t="s">
        <v>25</v>
      </c>
      <c r="E575" t="s">
        <v>33</v>
      </c>
      <c r="F575" t="s">
        <v>27</v>
      </c>
      <c r="G575" t="s">
        <v>25</v>
      </c>
      <c r="H575">
        <v>30</v>
      </c>
      <c r="I575">
        <v>20</v>
      </c>
      <c r="J575">
        <v>0.2</v>
      </c>
      <c r="L575">
        <v>0.3</v>
      </c>
      <c r="O575" t="s">
        <v>698</v>
      </c>
      <c r="P575">
        <v>7000</v>
      </c>
      <c r="S575">
        <v>1.5</v>
      </c>
      <c r="T575">
        <v>0.55</v>
      </c>
      <c r="U575">
        <v>1.3</v>
      </c>
      <c r="V575">
        <v>48</v>
      </c>
      <c r="W575">
        <v>5</v>
      </c>
      <c r="X575" t="s">
        <v>41</v>
      </c>
    </row>
    <row r="576" spans="1:24">
      <c r="A576" t="str">
        <f>Hyperlink("https://www.diodes.com/part/view/DMN33D8LV","DMN33D8LV")</f>
        <v>DMN33D8LV</v>
      </c>
      <c r="B576" t="str">
        <f>Hyperlink("https://www.diodes.com/assets/Datasheets/DMN33D8LV.pdf","DMN33D8LV Datasheet")</f>
        <v>DMN33D8LV Datasheet</v>
      </c>
      <c r="C576" t="s">
        <v>34</v>
      </c>
      <c r="D576" t="s">
        <v>25</v>
      </c>
      <c r="E576" t="s">
        <v>26</v>
      </c>
      <c r="F576" t="s">
        <v>35</v>
      </c>
      <c r="G576" t="s">
        <v>25</v>
      </c>
      <c r="H576">
        <v>30</v>
      </c>
      <c r="I576">
        <v>20</v>
      </c>
      <c r="J576">
        <v>0.35</v>
      </c>
      <c r="L576">
        <v>0.43</v>
      </c>
      <c r="N576">
        <v>2400</v>
      </c>
      <c r="O576">
        <v>3000</v>
      </c>
      <c r="P576">
        <v>7000</v>
      </c>
      <c r="S576">
        <v>1.5</v>
      </c>
      <c r="T576">
        <v>0.55</v>
      </c>
      <c r="U576">
        <v>1.23</v>
      </c>
      <c r="V576">
        <v>48</v>
      </c>
      <c r="W576">
        <v>48</v>
      </c>
      <c r="X576" t="s">
        <v>43</v>
      </c>
    </row>
    <row r="577" spans="1:24">
      <c r="A577" t="str">
        <f>Hyperlink("https://www.diodes.com/part/view/DMN33D8LVQ","DMN33D8LVQ")</f>
        <v>DMN33D8LVQ</v>
      </c>
      <c r="B577" t="str">
        <f>Hyperlink("https://www.diodes.com/assets/Datasheets/DMN33D8LVQ.pdf","DMN33D8LVQ Datasheet")</f>
        <v>DMN33D8LVQ Datasheet</v>
      </c>
      <c r="C577" t="s">
        <v>649</v>
      </c>
      <c r="D577" t="s">
        <v>25</v>
      </c>
      <c r="E577" t="s">
        <v>33</v>
      </c>
      <c r="F577" t="s">
        <v>35</v>
      </c>
      <c r="G577" t="s">
        <v>25</v>
      </c>
      <c r="H577">
        <v>30</v>
      </c>
      <c r="I577">
        <v>20</v>
      </c>
      <c r="J577">
        <v>0.35</v>
      </c>
      <c r="L577">
        <v>0.43</v>
      </c>
      <c r="N577">
        <v>2400</v>
      </c>
      <c r="O577">
        <v>3000</v>
      </c>
      <c r="P577">
        <v>7000</v>
      </c>
      <c r="R577">
        <v>0.8</v>
      </c>
      <c r="S577">
        <v>1.5</v>
      </c>
      <c r="T577">
        <v>0.5</v>
      </c>
      <c r="V577">
        <v>48</v>
      </c>
      <c r="W577">
        <v>5</v>
      </c>
      <c r="X577" t="s">
        <v>43</v>
      </c>
    </row>
    <row r="578" spans="1:24">
      <c r="A578" t="str">
        <f>Hyperlink("https://www.diodes.com/part/view/DMN33D9LV","DMN33D9LV")</f>
        <v>DMN33D9LV</v>
      </c>
      <c r="B578" t="str">
        <f>Hyperlink("https://www.diodes.com/assets/Datasheets/DMN33D9LV.pdf","DMN33D9LV Datasheet")</f>
        <v>DMN33D9LV Datasheet</v>
      </c>
      <c r="C578" t="s">
        <v>34</v>
      </c>
      <c r="D578" t="s">
        <v>28</v>
      </c>
      <c r="E578" t="s">
        <v>26</v>
      </c>
      <c r="F578" t="s">
        <v>35</v>
      </c>
      <c r="G578" t="s">
        <v>25</v>
      </c>
      <c r="H578">
        <v>30</v>
      </c>
      <c r="I578">
        <v>20</v>
      </c>
      <c r="J578">
        <v>0.35</v>
      </c>
      <c r="L578">
        <v>0.43</v>
      </c>
      <c r="N578">
        <v>2400</v>
      </c>
      <c r="O578">
        <v>3000</v>
      </c>
      <c r="P578">
        <v>7000</v>
      </c>
      <c r="S578">
        <v>1.4</v>
      </c>
      <c r="T578">
        <v>0.55</v>
      </c>
      <c r="U578">
        <v>1.23</v>
      </c>
      <c r="V578">
        <v>48</v>
      </c>
      <c r="W578">
        <v>5</v>
      </c>
      <c r="X578" t="s">
        <v>43</v>
      </c>
    </row>
    <row r="579" spans="1:24">
      <c r="A579" t="str">
        <f>Hyperlink("https://www.diodes.com/part/view/DMN3401LDW","DMN3401LDW")</f>
        <v>DMN3401LDW</v>
      </c>
      <c r="B579" t="str">
        <f>Hyperlink("https://www.diodes.com/assets/Datasheets/DMN3401LDW.pdf","DMN3401LDW Datasheet")</f>
        <v>DMN3401LDW Datasheet</v>
      </c>
      <c r="C579" t="s">
        <v>668</v>
      </c>
      <c r="D579" t="s">
        <v>28</v>
      </c>
      <c r="E579" t="s">
        <v>26</v>
      </c>
      <c r="F579" t="s">
        <v>35</v>
      </c>
      <c r="G579" t="s">
        <v>25</v>
      </c>
      <c r="H579">
        <v>30</v>
      </c>
      <c r="I579">
        <v>20</v>
      </c>
      <c r="J579">
        <v>0.8</v>
      </c>
      <c r="L579">
        <v>0.35</v>
      </c>
      <c r="N579">
        <v>400</v>
      </c>
      <c r="O579">
        <v>700</v>
      </c>
      <c r="S579">
        <v>1.6</v>
      </c>
      <c r="T579">
        <v>0.5</v>
      </c>
      <c r="U579">
        <v>1.2</v>
      </c>
      <c r="V579">
        <v>50</v>
      </c>
      <c r="W579">
        <v>15</v>
      </c>
      <c r="X579" t="s">
        <v>37</v>
      </c>
    </row>
    <row r="580" spans="1:24">
      <c r="A580" t="str">
        <f>Hyperlink("https://www.diodes.com/part/view/DMN3401LDWQ","DMN3401LDWQ")</f>
        <v>DMN3401LDWQ</v>
      </c>
      <c r="B580" t="str">
        <f>Hyperlink("https://www.diodes.com/assets/Datasheets/DMN3401LDWQ.pdf","DMN3401LDWQ Datasheet")</f>
        <v>DMN3401LDWQ Datasheet</v>
      </c>
      <c r="C580" t="s">
        <v>34</v>
      </c>
      <c r="D580" t="s">
        <v>25</v>
      </c>
      <c r="E580" t="s">
        <v>33</v>
      </c>
      <c r="F580" t="s">
        <v>35</v>
      </c>
      <c r="G580" t="s">
        <v>25</v>
      </c>
      <c r="H580">
        <v>30</v>
      </c>
      <c r="I580">
        <v>20</v>
      </c>
      <c r="J580">
        <v>0.8</v>
      </c>
      <c r="L580">
        <v>0.35</v>
      </c>
      <c r="N580">
        <v>400</v>
      </c>
      <c r="O580">
        <v>700</v>
      </c>
      <c r="S580">
        <v>1.6</v>
      </c>
      <c r="T580">
        <v>0.5</v>
      </c>
      <c r="U580">
        <v>1.2</v>
      </c>
      <c r="V580">
        <v>50</v>
      </c>
      <c r="W580">
        <v>15</v>
      </c>
      <c r="X580" t="s">
        <v>37</v>
      </c>
    </row>
    <row r="581" spans="1:24">
      <c r="A581" t="str">
        <f>Hyperlink("https://www.diodes.com/part/view/DMN3401LV","DMN3401LV")</f>
        <v>DMN3401LV</v>
      </c>
      <c r="B581" t="str">
        <f>Hyperlink("https://www.diodes.com/assets/Datasheets/DMN3401LV.pdf","DMN3401LV Datasheet")</f>
        <v>DMN3401LV Datasheet</v>
      </c>
      <c r="C581" t="s">
        <v>34</v>
      </c>
      <c r="D581" t="s">
        <v>28</v>
      </c>
      <c r="E581" t="s">
        <v>26</v>
      </c>
      <c r="F581" t="s">
        <v>35</v>
      </c>
      <c r="G581" t="s">
        <v>25</v>
      </c>
      <c r="H581">
        <v>30</v>
      </c>
      <c r="I581">
        <v>20</v>
      </c>
      <c r="J581">
        <v>0.8</v>
      </c>
      <c r="L581">
        <v>0.5</v>
      </c>
      <c r="N581">
        <v>400</v>
      </c>
      <c r="O581">
        <v>700</v>
      </c>
      <c r="R581">
        <v>0.8</v>
      </c>
      <c r="S581">
        <v>1.6</v>
      </c>
      <c r="T581">
        <v>0.5</v>
      </c>
      <c r="V581">
        <v>50</v>
      </c>
      <c r="W581">
        <v>15</v>
      </c>
      <c r="X581" t="s">
        <v>43</v>
      </c>
    </row>
    <row r="582" spans="1:24">
      <c r="A582" t="str">
        <f>Hyperlink("https://www.diodes.com/part/view/DMN3401LVQ","DMN3401LVQ")</f>
        <v>DMN3401LVQ</v>
      </c>
      <c r="B582" t="str">
        <f>Hyperlink("https://www.diodes.com/assets/Datasheets/DMN3401LVQ.pdf","DMN3401LVQ Datasheet")</f>
        <v>DMN3401LVQ Datasheet</v>
      </c>
      <c r="C582" t="s">
        <v>649</v>
      </c>
      <c r="D582" t="s">
        <v>25</v>
      </c>
      <c r="E582" t="s">
        <v>33</v>
      </c>
      <c r="F582" t="s">
        <v>35</v>
      </c>
      <c r="G582" t="s">
        <v>25</v>
      </c>
      <c r="H582">
        <v>30</v>
      </c>
      <c r="I582">
        <v>20</v>
      </c>
      <c r="J582">
        <v>0.8</v>
      </c>
      <c r="L582">
        <v>0.5</v>
      </c>
      <c r="N582">
        <v>400</v>
      </c>
      <c r="O582">
        <v>700</v>
      </c>
      <c r="R582">
        <v>0.8</v>
      </c>
      <c r="S582">
        <v>1.6</v>
      </c>
      <c r="T582">
        <v>0.5</v>
      </c>
      <c r="V582">
        <v>50</v>
      </c>
      <c r="W582">
        <v>15</v>
      </c>
      <c r="X582" t="s">
        <v>43</v>
      </c>
    </row>
    <row r="583" spans="1:24">
      <c r="A583" t="str">
        <f>Hyperlink("https://www.diodes.com/part/view/DMN3404L","DMN3404L")</f>
        <v>DMN3404L</v>
      </c>
      <c r="B583" t="str">
        <f>Hyperlink("https://www.diodes.com/assets/Datasheets/DMN3404L.pdf","DMN3404L Datasheet")</f>
        <v>DMN3404L Datasheet</v>
      </c>
      <c r="C583" t="s">
        <v>24</v>
      </c>
      <c r="D583" t="s">
        <v>25</v>
      </c>
      <c r="E583" t="s">
        <v>26</v>
      </c>
      <c r="F583" t="s">
        <v>27</v>
      </c>
      <c r="G583" t="s">
        <v>28</v>
      </c>
      <c r="H583">
        <v>30</v>
      </c>
      <c r="I583">
        <v>20</v>
      </c>
      <c r="J583">
        <v>5.8</v>
      </c>
      <c r="L583">
        <v>1.4</v>
      </c>
      <c r="N583">
        <v>28</v>
      </c>
      <c r="O583">
        <v>42</v>
      </c>
      <c r="S583">
        <v>2</v>
      </c>
      <c r="T583">
        <v>5.3</v>
      </c>
      <c r="U583">
        <v>11.3</v>
      </c>
      <c r="V583">
        <v>498</v>
      </c>
      <c r="X583" t="s">
        <v>30</v>
      </c>
    </row>
    <row r="584" spans="1:24">
      <c r="A584" t="str">
        <f>Hyperlink("https://www.diodes.com/part/view/DMN34D0U","DMN34D0U")</f>
        <v>DMN34D0U</v>
      </c>
      <c r="B584" t="str">
        <f>Hyperlink("https://www.diodes.com/assets/Datasheets/DMN34D0U.pdf","DMN34D0U Datasheet")</f>
        <v>DMN34D0U Datasheet</v>
      </c>
      <c r="C584" t="s">
        <v>605</v>
      </c>
      <c r="D584" t="s">
        <v>28</v>
      </c>
      <c r="E584" t="s">
        <v>26</v>
      </c>
      <c r="F584" t="s">
        <v>27</v>
      </c>
      <c r="G584" t="s">
        <v>25</v>
      </c>
      <c r="H584">
        <v>25</v>
      </c>
      <c r="I584">
        <v>8</v>
      </c>
      <c r="J584">
        <v>0.3</v>
      </c>
      <c r="L584">
        <v>0.56</v>
      </c>
      <c r="O584">
        <v>4</v>
      </c>
      <c r="R584">
        <v>1.1</v>
      </c>
      <c r="S584">
        <v>0.7</v>
      </c>
      <c r="T584">
        <v>0.4</v>
      </c>
      <c r="V584">
        <v>24</v>
      </c>
      <c r="W584">
        <v>10</v>
      </c>
      <c r="X584" t="s">
        <v>32</v>
      </c>
    </row>
    <row r="585" spans="1:24">
      <c r="A585" t="str">
        <f>Hyperlink("https://www.diodes.com/part/view/DMN3730UFB","DMN3730UFB")</f>
        <v>DMN3730UFB</v>
      </c>
      <c r="B585" t="str">
        <f>Hyperlink("https://www.diodes.com/assets/Datasheets/DMN3730UFB.pdf","DMN3730UFB Datasheet")</f>
        <v>DMN3730UFB Datasheet</v>
      </c>
      <c r="C585" t="s">
        <v>24</v>
      </c>
      <c r="D585" t="s">
        <v>25</v>
      </c>
      <c r="E585" t="s">
        <v>26</v>
      </c>
      <c r="F585" t="s">
        <v>27</v>
      </c>
      <c r="G585" t="s">
        <v>25</v>
      </c>
      <c r="H585">
        <v>30</v>
      </c>
      <c r="I585">
        <v>8</v>
      </c>
      <c r="J585">
        <v>0.9</v>
      </c>
      <c r="L585">
        <v>0.69</v>
      </c>
      <c r="O585">
        <v>460</v>
      </c>
      <c r="P585">
        <v>560</v>
      </c>
      <c r="Q585">
        <v>730</v>
      </c>
      <c r="S585">
        <v>0.95</v>
      </c>
      <c r="T585">
        <v>1.6</v>
      </c>
      <c r="V585">
        <v>64.3</v>
      </c>
      <c r="X585" t="s">
        <v>592</v>
      </c>
    </row>
    <row r="586" spans="1:24">
      <c r="A586" t="str">
        <f>Hyperlink("https://www.diodes.com/part/view/DMN3730UFB4","DMN3730UFB4")</f>
        <v>DMN3730UFB4</v>
      </c>
      <c r="B586" t="str">
        <f>Hyperlink("https://www.diodes.com/assets/Datasheets/DMN3730UFB4.pdf","DMN3730UFB4 Datasheet")</f>
        <v>DMN3730UFB4 Datasheet</v>
      </c>
      <c r="C586" t="s">
        <v>24</v>
      </c>
      <c r="D586" t="s">
        <v>25</v>
      </c>
      <c r="E586" t="s">
        <v>26</v>
      </c>
      <c r="F586" t="s">
        <v>27</v>
      </c>
      <c r="G586" t="s">
        <v>25</v>
      </c>
      <c r="H586">
        <v>30</v>
      </c>
      <c r="I586">
        <v>8</v>
      </c>
      <c r="J586">
        <v>0.9</v>
      </c>
      <c r="L586">
        <v>0.69</v>
      </c>
      <c r="O586">
        <v>460</v>
      </c>
      <c r="P586">
        <v>560</v>
      </c>
      <c r="Q586">
        <v>730</v>
      </c>
      <c r="S586">
        <v>0.95</v>
      </c>
      <c r="T586">
        <v>1.6</v>
      </c>
      <c r="V586">
        <v>64.3</v>
      </c>
      <c r="X586" t="s">
        <v>615</v>
      </c>
    </row>
    <row r="587" spans="1:24">
      <c r="A587" t="str">
        <f>Hyperlink("https://www.diodes.com/part/view/DMN3731U","DMN3731U")</f>
        <v>DMN3731U</v>
      </c>
      <c r="B587" t="str">
        <f>Hyperlink("https://www.diodes.com/assets/Datasheets/DMN3731U.pdf","DMN3731U Datasheet")</f>
        <v>DMN3731U Datasheet</v>
      </c>
      <c r="C587" t="s">
        <v>504</v>
      </c>
      <c r="D587" t="s">
        <v>28</v>
      </c>
      <c r="E587" t="s">
        <v>26</v>
      </c>
      <c r="F587" t="s">
        <v>27</v>
      </c>
      <c r="G587" t="s">
        <v>25</v>
      </c>
      <c r="H587">
        <v>30</v>
      </c>
      <c r="I587">
        <v>8</v>
      </c>
      <c r="J587">
        <v>0.9</v>
      </c>
      <c r="L587">
        <v>0.58</v>
      </c>
      <c r="O587">
        <v>460</v>
      </c>
      <c r="P587">
        <v>560</v>
      </c>
      <c r="Q587">
        <v>730</v>
      </c>
      <c r="S587">
        <v>0.95</v>
      </c>
      <c r="T587">
        <v>5.5</v>
      </c>
      <c r="V587">
        <v>73</v>
      </c>
      <c r="W587">
        <v>25</v>
      </c>
      <c r="X587" t="s">
        <v>32</v>
      </c>
    </row>
    <row r="588" spans="1:24">
      <c r="A588" t="str">
        <f>Hyperlink("https://www.diodes.com/part/view/DMN3731UFB4","DMN3731UFB4")</f>
        <v>DMN3731UFB4</v>
      </c>
      <c r="B588" t="str">
        <f>Hyperlink("https://www.diodes.com/assets/Datasheets/DMN3731UFB4.pdf","DMN3731UFB4 Datasheet")</f>
        <v>DMN3731UFB4 Datasheet</v>
      </c>
      <c r="C588" t="s">
        <v>504</v>
      </c>
      <c r="D588" t="s">
        <v>28</v>
      </c>
      <c r="E588" t="s">
        <v>26</v>
      </c>
      <c r="F588" t="s">
        <v>27</v>
      </c>
      <c r="G588" t="s">
        <v>25</v>
      </c>
      <c r="H588">
        <v>30</v>
      </c>
      <c r="I588">
        <v>8</v>
      </c>
      <c r="J588">
        <v>1.2</v>
      </c>
      <c r="L588">
        <v>0.97</v>
      </c>
      <c r="O588">
        <v>460</v>
      </c>
      <c r="P588">
        <v>560</v>
      </c>
      <c r="Q588">
        <v>730</v>
      </c>
      <c r="S588">
        <v>0.95</v>
      </c>
      <c r="T588">
        <v>5.5</v>
      </c>
      <c r="V588">
        <v>73</v>
      </c>
      <c r="W588">
        <v>25</v>
      </c>
      <c r="X588" t="s">
        <v>615</v>
      </c>
    </row>
    <row r="589" spans="1:24">
      <c r="A589" t="str">
        <f>Hyperlink("https://www.diodes.com/part/view/DMN3732U","DMN3732U")</f>
        <v>DMN3732U</v>
      </c>
      <c r="B589" t="str">
        <f>Hyperlink("https://www.diodes.com/assets/Datasheets/DMN3732U.pdf","DMN3732U Datasheet")</f>
        <v>DMN3732U Datasheet</v>
      </c>
      <c r="C589" t="s">
        <v>653</v>
      </c>
      <c r="D589" t="s">
        <v>28</v>
      </c>
      <c r="E589" t="s">
        <v>26</v>
      </c>
      <c r="F589" t="s">
        <v>27</v>
      </c>
      <c r="G589" t="s">
        <v>25</v>
      </c>
      <c r="H589">
        <v>30</v>
      </c>
      <c r="I589">
        <v>8</v>
      </c>
      <c r="J589">
        <v>1</v>
      </c>
      <c r="L589">
        <v>0.65</v>
      </c>
      <c r="O589">
        <v>460</v>
      </c>
      <c r="P589">
        <v>560</v>
      </c>
      <c r="Q589">
        <v>730</v>
      </c>
      <c r="R589">
        <v>0.45</v>
      </c>
      <c r="S589">
        <v>0.95</v>
      </c>
      <c r="T589">
        <v>0.9</v>
      </c>
      <c r="V589">
        <v>40.8</v>
      </c>
      <c r="W589">
        <v>25</v>
      </c>
      <c r="X589" t="s">
        <v>32</v>
      </c>
    </row>
    <row r="590" spans="1:24">
      <c r="A590" t="str">
        <f>Hyperlink("https://www.diodes.com/part/view/DMN3732UFB4","DMN3732UFB4")</f>
        <v>DMN3732UFB4</v>
      </c>
      <c r="B590" t="str">
        <f>Hyperlink("https://www.diodes.com/assets/Datasheets/DMN3732UFB4.pdf","DMN3732UFB4 Datasheet")</f>
        <v>DMN3732UFB4 Datasheet</v>
      </c>
      <c r="C590" t="s">
        <v>504</v>
      </c>
      <c r="D590" t="s">
        <v>28</v>
      </c>
      <c r="E590" t="s">
        <v>26</v>
      </c>
      <c r="F590" t="s">
        <v>27</v>
      </c>
      <c r="G590" t="s">
        <v>25</v>
      </c>
      <c r="H590">
        <v>30</v>
      </c>
      <c r="I590">
        <v>8</v>
      </c>
      <c r="J590">
        <v>1.3</v>
      </c>
      <c r="L590">
        <v>1.12</v>
      </c>
      <c r="O590">
        <v>460</v>
      </c>
      <c r="P590">
        <v>560</v>
      </c>
      <c r="Q590">
        <v>730</v>
      </c>
      <c r="R590">
        <v>0.45</v>
      </c>
      <c r="S590">
        <v>0.95</v>
      </c>
      <c r="T590">
        <v>0.9</v>
      </c>
      <c r="V590">
        <v>40.8</v>
      </c>
      <c r="W590">
        <v>25</v>
      </c>
      <c r="X590" t="s">
        <v>615</v>
      </c>
    </row>
    <row r="591" spans="1:24">
      <c r="A591" t="str">
        <f>Hyperlink("https://www.diodes.com/part/view/DMN3732UFB4Q","DMN3732UFB4Q")</f>
        <v>DMN3732UFB4Q</v>
      </c>
      <c r="B591" t="str">
        <f>Hyperlink("https://www.diodes.com/assets/Datasheets/DMN3732UFB4Q.pdf","DMN3732UFB4Q Datasheet")</f>
        <v>DMN3732UFB4Q Datasheet</v>
      </c>
      <c r="C591" t="s">
        <v>504</v>
      </c>
      <c r="D591" t="s">
        <v>25</v>
      </c>
      <c r="E591" t="s">
        <v>33</v>
      </c>
      <c r="F591" t="s">
        <v>27</v>
      </c>
      <c r="G591" t="s">
        <v>25</v>
      </c>
      <c r="H591">
        <v>30</v>
      </c>
      <c r="I591">
        <v>8</v>
      </c>
      <c r="J591">
        <v>1.3</v>
      </c>
      <c r="L591">
        <v>1.12</v>
      </c>
      <c r="O591">
        <v>460</v>
      </c>
      <c r="P591">
        <v>560</v>
      </c>
      <c r="Q591">
        <v>730</v>
      </c>
      <c r="R591">
        <v>0.45</v>
      </c>
      <c r="S591">
        <v>0.95</v>
      </c>
      <c r="T591">
        <v>0.9</v>
      </c>
      <c r="V591">
        <v>40.8</v>
      </c>
      <c r="W591">
        <v>25</v>
      </c>
      <c r="X591" t="s">
        <v>615</v>
      </c>
    </row>
    <row r="592" spans="1:24">
      <c r="A592" t="str">
        <f>Hyperlink("https://www.diodes.com/part/view/DMN3732UQ","DMN3732UQ")</f>
        <v>DMN3732UQ</v>
      </c>
      <c r="B592" t="str">
        <f>Hyperlink("https://www.diodes.com/assets/Datasheets/DMN3732UQ.pdf","DMN3732UQ Datasheet")</f>
        <v>DMN3732UQ Datasheet</v>
      </c>
      <c r="C592" t="s">
        <v>653</v>
      </c>
      <c r="D592" t="s">
        <v>25</v>
      </c>
      <c r="E592" t="s">
        <v>33</v>
      </c>
      <c r="F592" t="s">
        <v>27</v>
      </c>
      <c r="G592" t="s">
        <v>25</v>
      </c>
      <c r="H592">
        <v>30</v>
      </c>
      <c r="I592">
        <v>8</v>
      </c>
      <c r="J592">
        <v>1</v>
      </c>
      <c r="L592">
        <v>0.65</v>
      </c>
      <c r="O592">
        <v>460</v>
      </c>
      <c r="P592">
        <v>560</v>
      </c>
      <c r="Q592">
        <v>730</v>
      </c>
      <c r="R592">
        <v>0.45</v>
      </c>
      <c r="S592">
        <v>0.95</v>
      </c>
      <c r="T592">
        <v>0.9</v>
      </c>
      <c r="V592">
        <v>40.8</v>
      </c>
      <c r="W592">
        <v>25</v>
      </c>
      <c r="X592" t="s">
        <v>32</v>
      </c>
    </row>
    <row r="593" spans="1:24">
      <c r="A593" t="str">
        <f>Hyperlink("https://www.diodes.com/part/view/DMN3732UVT","DMN3732UVT")</f>
        <v>DMN3732UVT</v>
      </c>
      <c r="B593" t="str">
        <f>Hyperlink("https://www.diodes.com/assets/Datasheets/DMN3732UVT.pdf","DMN3732UVT Datasheet")</f>
        <v>DMN3732UVT Datasheet</v>
      </c>
      <c r="C593" t="s">
        <v>649</v>
      </c>
      <c r="D593" t="s">
        <v>28</v>
      </c>
      <c r="E593" t="s">
        <v>26</v>
      </c>
      <c r="F593" t="s">
        <v>35</v>
      </c>
      <c r="G593" t="s">
        <v>28</v>
      </c>
      <c r="H593">
        <v>30</v>
      </c>
      <c r="I593">
        <v>8</v>
      </c>
      <c r="J593">
        <v>1.1</v>
      </c>
      <c r="L593">
        <v>0.8</v>
      </c>
      <c r="O593">
        <v>460</v>
      </c>
      <c r="P593">
        <v>560</v>
      </c>
      <c r="Q593">
        <v>730</v>
      </c>
      <c r="R593">
        <v>0.45</v>
      </c>
      <c r="S593">
        <v>0.95</v>
      </c>
      <c r="T593">
        <v>0.9</v>
      </c>
      <c r="V593">
        <v>40.8</v>
      </c>
      <c r="W593">
        <v>25</v>
      </c>
      <c r="X593" t="s">
        <v>128</v>
      </c>
    </row>
    <row r="594" spans="1:24">
      <c r="A594" t="str">
        <f>Hyperlink("https://www.diodes.com/part/view/DMN3732UVTQ","DMN3732UVTQ")</f>
        <v>DMN3732UVTQ</v>
      </c>
      <c r="B594" t="str">
        <f>Hyperlink("https://www.diodes.com/assets/Datasheets/DMN3732UVTQ.pdf","DMN3732UVTQ Datasheet")</f>
        <v>DMN3732UVTQ Datasheet</v>
      </c>
      <c r="C594" t="s">
        <v>649</v>
      </c>
      <c r="D594" t="s">
        <v>25</v>
      </c>
      <c r="E594" t="s">
        <v>33</v>
      </c>
      <c r="F594" t="s">
        <v>35</v>
      </c>
      <c r="G594" t="s">
        <v>28</v>
      </c>
      <c r="H594">
        <v>30</v>
      </c>
      <c r="I594">
        <v>8</v>
      </c>
      <c r="J594">
        <v>1.1</v>
      </c>
      <c r="L594">
        <v>0.8</v>
      </c>
      <c r="O594">
        <v>460</v>
      </c>
      <c r="P594">
        <v>560</v>
      </c>
      <c r="Q594">
        <v>730</v>
      </c>
      <c r="R594">
        <v>0.45</v>
      </c>
      <c r="S594">
        <v>0.95</v>
      </c>
      <c r="T594">
        <v>0.9</v>
      </c>
      <c r="V594">
        <v>40.8</v>
      </c>
      <c r="W594">
        <v>25</v>
      </c>
      <c r="X594" t="s">
        <v>128</v>
      </c>
    </row>
    <row r="595" spans="1:24">
      <c r="A595" t="str">
        <f>Hyperlink("https://www.diodes.com/part/view/DMN38M1SCA10","DMN38M1SCA10")</f>
        <v>DMN38M1SCA10</v>
      </c>
      <c r="B595" t="str">
        <f>Hyperlink("https://www.diodes.com/assets/Datasheets/DMN38M1SCA10.pdf","DMN38M1SCA10 Datasheet")</f>
        <v>DMN38M1SCA10 Datasheet</v>
      </c>
      <c r="C595" t="s">
        <v>699</v>
      </c>
      <c r="D595" t="s">
        <v>28</v>
      </c>
      <c r="E595" t="s">
        <v>26</v>
      </c>
      <c r="F595" t="s">
        <v>27</v>
      </c>
      <c r="G595" t="s">
        <v>25</v>
      </c>
      <c r="H595">
        <v>30</v>
      </c>
      <c r="I595">
        <v>20</v>
      </c>
      <c r="J595">
        <v>16</v>
      </c>
      <c r="L595">
        <v>3</v>
      </c>
      <c r="N595">
        <v>7.8</v>
      </c>
      <c r="O595">
        <v>11</v>
      </c>
      <c r="R595">
        <v>1.3</v>
      </c>
      <c r="S595">
        <v>2.3</v>
      </c>
      <c r="T595">
        <v>16.9</v>
      </c>
      <c r="U595">
        <v>36.7</v>
      </c>
      <c r="V595">
        <v>1914</v>
      </c>
      <c r="W595">
        <v>15</v>
      </c>
      <c r="X595" t="s">
        <v>654</v>
      </c>
    </row>
    <row r="596" spans="1:24">
      <c r="A596" t="str">
        <f>Hyperlink("https://www.diodes.com/part/view/DMN3900UFA","DMN3900UFA")</f>
        <v>DMN3900UFA</v>
      </c>
      <c r="B596" t="str">
        <f>Hyperlink("https://www.diodes.com/assets/Datasheets/DMN3900UFA.pdf","DMN3900UFA Datasheet")</f>
        <v>DMN3900UFA Datasheet</v>
      </c>
      <c r="C596" t="s">
        <v>24</v>
      </c>
      <c r="D596" t="s">
        <v>25</v>
      </c>
      <c r="E596" t="s">
        <v>26</v>
      </c>
      <c r="F596" t="s">
        <v>27</v>
      </c>
      <c r="G596" t="s">
        <v>25</v>
      </c>
      <c r="H596">
        <v>30</v>
      </c>
      <c r="I596">
        <v>8</v>
      </c>
      <c r="J596">
        <v>0.65</v>
      </c>
      <c r="L596">
        <v>0.49</v>
      </c>
      <c r="O596">
        <v>760</v>
      </c>
      <c r="P596">
        <v>930</v>
      </c>
      <c r="Q596">
        <v>1500</v>
      </c>
      <c r="S596">
        <v>0.95</v>
      </c>
      <c r="T596">
        <v>0.7</v>
      </c>
      <c r="V596">
        <v>42.2</v>
      </c>
      <c r="X596" t="s">
        <v>595</v>
      </c>
    </row>
    <row r="597" spans="1:24">
      <c r="A597" t="str">
        <f>Hyperlink("https://www.diodes.com/part/view/DMN39M1LFVW","DMN39M1LFVW")</f>
        <v>DMN39M1LFVW</v>
      </c>
      <c r="B597" t="str">
        <f>Hyperlink("https://www.diodes.com/assets/Datasheets/DMN39M1LFVW.pdf","DMN39M1LFVW Datasheet")</f>
        <v>DMN39M1LFVW Datasheet</v>
      </c>
      <c r="C597" t="s">
        <v>653</v>
      </c>
      <c r="D597" t="s">
        <v>28</v>
      </c>
      <c r="E597" t="s">
        <v>26</v>
      </c>
      <c r="F597" t="s">
        <v>27</v>
      </c>
      <c r="G597" t="s">
        <v>28</v>
      </c>
      <c r="H597">
        <v>30</v>
      </c>
      <c r="I597">
        <v>20</v>
      </c>
      <c r="J597">
        <v>87</v>
      </c>
      <c r="L597">
        <v>2.7</v>
      </c>
      <c r="M597">
        <v>2.2</v>
      </c>
      <c r="N597">
        <v>5</v>
      </c>
      <c r="O597">
        <v>7.4</v>
      </c>
      <c r="R597">
        <v>1</v>
      </c>
      <c r="S597">
        <v>2.5</v>
      </c>
      <c r="T597">
        <v>19</v>
      </c>
      <c r="U597">
        <v>40</v>
      </c>
      <c r="V597">
        <v>2387</v>
      </c>
      <c r="W597">
        <v>15</v>
      </c>
      <c r="X597" t="s">
        <v>655</v>
      </c>
    </row>
    <row r="598" spans="1:24">
      <c r="A598" t="str">
        <f>Hyperlink("https://www.diodes.com/part/view/DMN39M1LFVWQ","DMN39M1LFVWQ")</f>
        <v>DMN39M1LFVWQ</v>
      </c>
      <c r="B598" t="str">
        <f>Hyperlink("https://www.diodes.com/assets/Datasheets/DMN39M1LFVWQ.pdf","DMN39M1LFVWQ Datasheet")</f>
        <v>DMN39M1LFVWQ Datasheet</v>
      </c>
      <c r="C598" t="s">
        <v>653</v>
      </c>
      <c r="D598" t="s">
        <v>25</v>
      </c>
      <c r="E598" t="s">
        <v>33</v>
      </c>
      <c r="F598" t="s">
        <v>27</v>
      </c>
      <c r="G598" t="s">
        <v>28</v>
      </c>
      <c r="H598">
        <v>30</v>
      </c>
      <c r="I598">
        <v>20</v>
      </c>
      <c r="K598">
        <v>87</v>
      </c>
      <c r="L598">
        <v>2.7</v>
      </c>
      <c r="M598">
        <v>2.2</v>
      </c>
      <c r="N598">
        <v>5</v>
      </c>
      <c r="O598">
        <v>7.4</v>
      </c>
      <c r="R598">
        <v>1</v>
      </c>
      <c r="S598">
        <v>2.5</v>
      </c>
      <c r="T598">
        <v>19</v>
      </c>
      <c r="U598">
        <v>40</v>
      </c>
      <c r="V598">
        <v>2387</v>
      </c>
      <c r="W598">
        <v>15</v>
      </c>
      <c r="X598" t="s">
        <v>655</v>
      </c>
    </row>
    <row r="599" spans="1:24">
      <c r="A599" t="str">
        <f>Hyperlink("https://www.diodes.com/part/view/DMN39M1LK3","DMN39M1LK3")</f>
        <v>DMN39M1LK3</v>
      </c>
      <c r="B599" t="str">
        <f>Hyperlink("https://www.diodes.com/assets/Datasheets/DMN39M1LK3.pdf","DMN39M1LK3 Datasheet")</f>
        <v>DMN39M1LK3 Datasheet</v>
      </c>
      <c r="C599" t="s">
        <v>504</v>
      </c>
      <c r="D599" t="s">
        <v>25</v>
      </c>
      <c r="E599" t="s">
        <v>26</v>
      </c>
      <c r="F599" t="s">
        <v>27</v>
      </c>
      <c r="G599" t="s">
        <v>28</v>
      </c>
      <c r="H599">
        <v>30</v>
      </c>
      <c r="I599">
        <v>20</v>
      </c>
      <c r="J599">
        <v>17.9</v>
      </c>
      <c r="K599">
        <v>89.3</v>
      </c>
      <c r="L599">
        <v>2.6</v>
      </c>
      <c r="M599">
        <v>65.7</v>
      </c>
      <c r="N599">
        <v>5.5</v>
      </c>
      <c r="O599">
        <v>9</v>
      </c>
      <c r="R599">
        <v>1</v>
      </c>
      <c r="S599">
        <v>2.5</v>
      </c>
      <c r="T599">
        <v>19.3</v>
      </c>
      <c r="U599">
        <v>38.6</v>
      </c>
      <c r="V599">
        <v>2253</v>
      </c>
      <c r="W599">
        <v>15</v>
      </c>
      <c r="X599" t="s">
        <v>507</v>
      </c>
    </row>
    <row r="600" spans="1:24">
      <c r="A600" t="str">
        <f>Hyperlink("https://www.diodes.com/part/view/DMN39M1LSS","DMN39M1LSS")</f>
        <v>DMN39M1LSS</v>
      </c>
      <c r="B600" t="str">
        <f>Hyperlink("https://www.diodes.com/assets/Datasheets/DMN39M1LSS.pdf","DMN39M1LSS Datasheet")</f>
        <v>DMN39M1LSS Datasheet</v>
      </c>
      <c r="C600" t="s">
        <v>653</v>
      </c>
      <c r="D600" t="s">
        <v>28</v>
      </c>
      <c r="E600" t="s">
        <v>26</v>
      </c>
      <c r="F600" t="s">
        <v>27</v>
      </c>
      <c r="G600" t="s">
        <v>28</v>
      </c>
      <c r="H600">
        <v>30</v>
      </c>
      <c r="I600">
        <v>20</v>
      </c>
      <c r="J600">
        <v>87</v>
      </c>
      <c r="L600">
        <v>1.9</v>
      </c>
      <c r="N600">
        <v>5.5</v>
      </c>
      <c r="O600">
        <v>7.5</v>
      </c>
      <c r="R600">
        <v>1</v>
      </c>
      <c r="S600">
        <v>2.5</v>
      </c>
      <c r="T600">
        <v>21</v>
      </c>
      <c r="U600">
        <v>42</v>
      </c>
      <c r="V600">
        <v>2311</v>
      </c>
      <c r="W600">
        <v>15</v>
      </c>
      <c r="X600" t="s">
        <v>155</v>
      </c>
    </row>
    <row r="601" spans="1:24">
      <c r="A601" t="str">
        <f>Hyperlink("https://www.diodes.com/part/view/DMN39M1LSSQ","DMN39M1LSSQ")</f>
        <v>DMN39M1LSSQ</v>
      </c>
      <c r="B601" t="str">
        <f>Hyperlink("https://www.diodes.com/assets/Datasheets/DMN39M1LSSQ.pdf","DMN39M1LSSQ Datasheet")</f>
        <v>DMN39M1LSSQ Datasheet</v>
      </c>
      <c r="C601" t="s">
        <v>653</v>
      </c>
      <c r="D601" t="s">
        <v>25</v>
      </c>
      <c r="E601" t="s">
        <v>33</v>
      </c>
      <c r="F601" t="s">
        <v>27</v>
      </c>
      <c r="G601" t="s">
        <v>28</v>
      </c>
      <c r="H601">
        <v>30</v>
      </c>
      <c r="I601">
        <v>20</v>
      </c>
      <c r="J601">
        <v>87</v>
      </c>
      <c r="L601">
        <v>1.9</v>
      </c>
      <c r="N601">
        <v>5.5</v>
      </c>
      <c r="O601">
        <v>7.5</v>
      </c>
      <c r="R601">
        <v>1</v>
      </c>
      <c r="S601">
        <v>2.5</v>
      </c>
      <c r="T601">
        <v>21</v>
      </c>
      <c r="U601">
        <v>42</v>
      </c>
      <c r="V601">
        <v>2311</v>
      </c>
      <c r="W601">
        <v>15</v>
      </c>
      <c r="X601" t="s">
        <v>155</v>
      </c>
    </row>
    <row r="602" spans="1:24">
      <c r="A602" t="str">
        <f>Hyperlink("https://www.diodes.com/part/view/DMN4008LFG","DMN4008LFG")</f>
        <v>DMN4008LFG</v>
      </c>
      <c r="B602" t="str">
        <f>Hyperlink("https://www.diodes.com/assets/Datasheets/DMN4008LFG.pdf","DMN4008LFG Datasheet")</f>
        <v>DMN4008LFG Datasheet</v>
      </c>
      <c r="C602" t="s">
        <v>700</v>
      </c>
      <c r="D602" t="s">
        <v>25</v>
      </c>
      <c r="E602" t="s">
        <v>26</v>
      </c>
      <c r="F602" t="s">
        <v>27</v>
      </c>
      <c r="G602" t="s">
        <v>28</v>
      </c>
      <c r="H602">
        <v>40</v>
      </c>
      <c r="I602">
        <v>20</v>
      </c>
      <c r="J602">
        <v>14.4</v>
      </c>
      <c r="L602">
        <v>2.3</v>
      </c>
      <c r="N602">
        <v>7.5</v>
      </c>
      <c r="O602">
        <v>10</v>
      </c>
      <c r="P602" t="s">
        <v>701</v>
      </c>
      <c r="S602">
        <v>3</v>
      </c>
      <c r="T602">
        <v>34</v>
      </c>
      <c r="U602">
        <v>74</v>
      </c>
      <c r="V602">
        <v>3537</v>
      </c>
      <c r="X602" t="s">
        <v>529</v>
      </c>
    </row>
    <row r="603" spans="1:24">
      <c r="A603" t="str">
        <f>Hyperlink("https://www.diodes.com/part/view/DMN4010LFG","DMN4010LFG")</f>
        <v>DMN4010LFG</v>
      </c>
      <c r="B603" t="str">
        <f>Hyperlink("https://www.diodes.com/assets/Datasheets/DMN4010LFG.pdf","DMN4010LFG Datasheet")</f>
        <v>DMN4010LFG Datasheet</v>
      </c>
      <c r="C603" t="s">
        <v>24</v>
      </c>
      <c r="D603" t="s">
        <v>25</v>
      </c>
      <c r="E603" t="s">
        <v>26</v>
      </c>
      <c r="F603" t="s">
        <v>27</v>
      </c>
      <c r="G603" t="s">
        <v>28</v>
      </c>
      <c r="H603">
        <v>40</v>
      </c>
      <c r="I603">
        <v>20</v>
      </c>
      <c r="J603">
        <v>11.5</v>
      </c>
      <c r="L603">
        <v>2.45</v>
      </c>
      <c r="N603">
        <v>12</v>
      </c>
      <c r="O603">
        <v>15</v>
      </c>
      <c r="S603">
        <v>3</v>
      </c>
      <c r="T603">
        <v>17</v>
      </c>
      <c r="U603">
        <v>37</v>
      </c>
      <c r="V603">
        <v>1810</v>
      </c>
      <c r="X603" t="s">
        <v>529</v>
      </c>
    </row>
    <row r="604" spans="1:24">
      <c r="A604" t="str">
        <f>Hyperlink("https://www.diodes.com/part/view/DMN4010LK3","DMN4010LK3")</f>
        <v>DMN4010LK3</v>
      </c>
      <c r="B604" t="str">
        <f>Hyperlink("https://www.diodes.com/assets/Datasheets/DMN4010LK3.pdf","DMN4010LK3 Datasheet")</f>
        <v>DMN4010LK3 Datasheet</v>
      </c>
      <c r="C604" t="s">
        <v>24</v>
      </c>
      <c r="D604" t="s">
        <v>25</v>
      </c>
      <c r="E604" t="s">
        <v>26</v>
      </c>
      <c r="F604" t="s">
        <v>27</v>
      </c>
      <c r="G604" t="s">
        <v>28</v>
      </c>
      <c r="H604">
        <v>40</v>
      </c>
      <c r="I604">
        <v>20</v>
      </c>
      <c r="J604">
        <v>11.9</v>
      </c>
      <c r="K604">
        <v>39</v>
      </c>
      <c r="L604">
        <v>2.4</v>
      </c>
      <c r="N604">
        <v>11.5</v>
      </c>
      <c r="O604">
        <v>14.5</v>
      </c>
      <c r="R604">
        <v>1</v>
      </c>
      <c r="S604">
        <v>3</v>
      </c>
      <c r="T604">
        <v>17</v>
      </c>
      <c r="U604">
        <v>37</v>
      </c>
      <c r="V604">
        <v>1810</v>
      </c>
      <c r="W604">
        <v>20</v>
      </c>
      <c r="X604" t="s">
        <v>507</v>
      </c>
    </row>
    <row r="605" spans="1:24">
      <c r="A605" t="str">
        <f>Hyperlink("https://www.diodes.com/part/view/DMN4020LFDE","DMN4020LFDE")</f>
        <v>DMN4020LFDE</v>
      </c>
      <c r="B605" t="str">
        <f>Hyperlink("https://www.diodes.com/assets/Datasheets/DMN4020LFDE.pdf","DMN4020LFDE Datasheet")</f>
        <v>DMN4020LFDE Datasheet</v>
      </c>
      <c r="C605" t="s">
        <v>24</v>
      </c>
      <c r="D605" t="s">
        <v>25</v>
      </c>
      <c r="E605" t="s">
        <v>26</v>
      </c>
      <c r="F605" t="s">
        <v>27</v>
      </c>
      <c r="G605" t="s">
        <v>28</v>
      </c>
      <c r="H605">
        <v>40</v>
      </c>
      <c r="I605">
        <v>20</v>
      </c>
      <c r="J605">
        <v>8</v>
      </c>
      <c r="L605">
        <v>2.03</v>
      </c>
      <c r="N605">
        <v>20</v>
      </c>
      <c r="O605">
        <v>28</v>
      </c>
      <c r="S605">
        <v>2.4</v>
      </c>
      <c r="T605">
        <v>8.8</v>
      </c>
      <c r="U605">
        <v>19.1</v>
      </c>
      <c r="V605">
        <v>1060</v>
      </c>
      <c r="X605" t="s">
        <v>567</v>
      </c>
    </row>
    <row r="606" spans="1:24">
      <c r="A606" t="str">
        <f>Hyperlink("https://www.diodes.com/part/view/DMN4020LFDEQ","DMN4020LFDEQ")</f>
        <v>DMN4020LFDEQ</v>
      </c>
      <c r="B606" t="str">
        <f>Hyperlink("https://www.diodes.com/assets/Datasheets/DMN4020LFDEQ.pdf","DMN4020LFDEQ Datasheet")</f>
        <v>DMN4020LFDEQ Datasheet</v>
      </c>
      <c r="C606" t="s">
        <v>700</v>
      </c>
      <c r="D606" t="s">
        <v>25</v>
      </c>
      <c r="E606" t="s">
        <v>33</v>
      </c>
      <c r="F606" t="s">
        <v>27</v>
      </c>
      <c r="G606" t="s">
        <v>28</v>
      </c>
      <c r="H606">
        <v>40</v>
      </c>
      <c r="I606">
        <v>20</v>
      </c>
      <c r="J606">
        <v>8.6</v>
      </c>
      <c r="L606">
        <v>2.35</v>
      </c>
      <c r="N606">
        <v>21</v>
      </c>
      <c r="O606">
        <v>28</v>
      </c>
      <c r="S606">
        <v>2.4</v>
      </c>
      <c r="T606">
        <v>12.7</v>
      </c>
      <c r="U606">
        <v>25.3</v>
      </c>
      <c r="V606">
        <v>1201</v>
      </c>
      <c r="W606">
        <v>20</v>
      </c>
      <c r="X606" t="s">
        <v>567</v>
      </c>
    </row>
    <row r="607" spans="1:24">
      <c r="A607" t="str">
        <f>Hyperlink("https://www.diodes.com/part/view/DMN4026SK3","DMN4026SK3")</f>
        <v>DMN4026SK3</v>
      </c>
      <c r="B607" t="str">
        <f>Hyperlink("https://www.diodes.com/assets/Datasheets/DMN4026SK3.pdf","DMN4026SK3 Datasheet")</f>
        <v>DMN4026SK3 Datasheet</v>
      </c>
      <c r="C607" t="s">
        <v>24</v>
      </c>
      <c r="D607" t="s">
        <v>28</v>
      </c>
      <c r="E607" t="s">
        <v>26</v>
      </c>
      <c r="F607" t="s">
        <v>27</v>
      </c>
      <c r="G607" t="s">
        <v>28</v>
      </c>
      <c r="H607">
        <v>40</v>
      </c>
      <c r="I607">
        <v>20</v>
      </c>
      <c r="K607">
        <v>28</v>
      </c>
      <c r="L607">
        <v>3.4</v>
      </c>
      <c r="N607">
        <v>24</v>
      </c>
      <c r="O607">
        <v>32</v>
      </c>
      <c r="S607">
        <v>3</v>
      </c>
      <c r="T607">
        <v>9.6</v>
      </c>
      <c r="U607">
        <v>21.3</v>
      </c>
      <c r="V607">
        <v>1181</v>
      </c>
      <c r="W607">
        <v>20</v>
      </c>
      <c r="X607" t="s">
        <v>507</v>
      </c>
    </row>
    <row r="608" spans="1:24">
      <c r="A608" t="str">
        <f>Hyperlink("https://www.diodes.com/part/view/DMN4026SSD","DMN4026SSD")</f>
        <v>DMN4026SSD</v>
      </c>
      <c r="B608" t="str">
        <f>Hyperlink("https://www.diodes.com/assets/Datasheets/DMN4026SSD.pdf","DMN4026SSD Datasheet")</f>
        <v>DMN4026SSD Datasheet</v>
      </c>
      <c r="C608" t="s">
        <v>702</v>
      </c>
      <c r="D608" t="s">
        <v>25</v>
      </c>
      <c r="E608" t="s">
        <v>26</v>
      </c>
      <c r="F608" t="s">
        <v>35</v>
      </c>
      <c r="G608" t="s">
        <v>28</v>
      </c>
      <c r="H608">
        <v>40</v>
      </c>
      <c r="I608">
        <v>20</v>
      </c>
      <c r="J608">
        <v>9</v>
      </c>
      <c r="L608">
        <v>1.8</v>
      </c>
      <c r="N608">
        <v>24</v>
      </c>
      <c r="O608">
        <v>32</v>
      </c>
      <c r="S608">
        <v>3</v>
      </c>
      <c r="T608">
        <v>8.8</v>
      </c>
      <c r="U608">
        <v>19.1</v>
      </c>
      <c r="V608">
        <v>1060</v>
      </c>
      <c r="X608" t="s">
        <v>155</v>
      </c>
    </row>
    <row r="609" spans="1:24">
      <c r="A609" t="str">
        <f>Hyperlink("https://www.diodes.com/part/view/DMN4027SSD","DMN4027SSD")</f>
        <v>DMN4027SSD</v>
      </c>
      <c r="B609" t="str">
        <f>Hyperlink("https://www.diodes.com/assets/Datasheets/DMN4027SSD.pdf","DMN4027SSD Datasheet")</f>
        <v>DMN4027SSD Datasheet</v>
      </c>
      <c r="C609" t="s">
        <v>34</v>
      </c>
      <c r="D609" t="s">
        <v>25</v>
      </c>
      <c r="E609" t="s">
        <v>26</v>
      </c>
      <c r="F609" t="s">
        <v>35</v>
      </c>
      <c r="G609" t="s">
        <v>28</v>
      </c>
      <c r="H609">
        <v>40</v>
      </c>
      <c r="I609">
        <v>20</v>
      </c>
      <c r="J609">
        <v>7.1</v>
      </c>
      <c r="L609">
        <v>2.1</v>
      </c>
      <c r="N609">
        <v>27</v>
      </c>
      <c r="O609">
        <v>47</v>
      </c>
      <c r="S609">
        <v>3</v>
      </c>
      <c r="T609">
        <v>6.3</v>
      </c>
      <c r="U609">
        <v>12.9</v>
      </c>
      <c r="V609">
        <v>604</v>
      </c>
      <c r="X609" t="s">
        <v>155</v>
      </c>
    </row>
    <row r="610" spans="1:24">
      <c r="A610" t="str">
        <f>Hyperlink("https://www.diodes.com/part/view/DMN4030LK3","DMN4030LK3")</f>
        <v>DMN4030LK3</v>
      </c>
      <c r="B610" t="str">
        <f>Hyperlink("https://www.diodes.com/assets/Datasheets/DMN4030LK3.pdf","DMN4030LK3 Datasheet")</f>
        <v>DMN4030LK3 Datasheet</v>
      </c>
      <c r="C610" t="s">
        <v>24</v>
      </c>
      <c r="D610" t="s">
        <v>25</v>
      </c>
      <c r="E610" t="s">
        <v>26</v>
      </c>
      <c r="F610" t="s">
        <v>27</v>
      </c>
      <c r="G610" t="s">
        <v>28</v>
      </c>
      <c r="H610">
        <v>40</v>
      </c>
      <c r="I610">
        <v>20</v>
      </c>
      <c r="J610">
        <v>9.6</v>
      </c>
      <c r="L610">
        <v>4.18</v>
      </c>
      <c r="N610">
        <v>30</v>
      </c>
      <c r="O610">
        <v>50</v>
      </c>
      <c r="S610">
        <v>3</v>
      </c>
      <c r="T610">
        <v>6.5</v>
      </c>
      <c r="U610">
        <v>12.9</v>
      </c>
      <c r="V610">
        <v>604</v>
      </c>
      <c r="X610" t="s">
        <v>507</v>
      </c>
    </row>
    <row r="611" spans="1:24">
      <c r="A611" t="str">
        <f>Hyperlink("https://www.diodes.com/part/view/DMN4030LK3Q","DMN4030LK3Q")</f>
        <v>DMN4030LK3Q</v>
      </c>
      <c r="B611" t="str">
        <f>Hyperlink("https://www.diodes.com/assets/Datasheets/DMN4030LK3Q.pdf","DMN4030LK3Q Datasheet")</f>
        <v>DMN4030LK3Q Datasheet</v>
      </c>
      <c r="C611" t="s">
        <v>700</v>
      </c>
      <c r="D611" t="s">
        <v>25</v>
      </c>
      <c r="E611" t="s">
        <v>33</v>
      </c>
      <c r="F611" t="s">
        <v>27</v>
      </c>
      <c r="G611" t="s">
        <v>28</v>
      </c>
      <c r="H611">
        <v>40</v>
      </c>
      <c r="I611">
        <v>20</v>
      </c>
      <c r="J611">
        <v>9.6</v>
      </c>
      <c r="L611">
        <v>4.18</v>
      </c>
      <c r="N611">
        <v>30</v>
      </c>
      <c r="O611">
        <v>50</v>
      </c>
      <c r="S611">
        <v>3</v>
      </c>
      <c r="T611">
        <v>6.5</v>
      </c>
      <c r="U611">
        <v>12.9</v>
      </c>
      <c r="X611" t="s">
        <v>507</v>
      </c>
    </row>
    <row r="612" spans="1:24">
      <c r="A612" t="str">
        <f>Hyperlink("https://www.diodes.com/part/view/DMN4031SSDQ","DMN4031SSDQ")</f>
        <v>DMN4031SSDQ</v>
      </c>
      <c r="B612" t="str">
        <f>Hyperlink("https://www.diodes.com/assets/Datasheets/products_inactive_data/DMN4031SSDQ.pdf","DMN4031SSDQ Datasheet")</f>
        <v>DMN4031SSDQ Datasheet</v>
      </c>
      <c r="C612" t="s">
        <v>34</v>
      </c>
      <c r="D612" t="s">
        <v>25</v>
      </c>
      <c r="E612" t="s">
        <v>33</v>
      </c>
      <c r="F612" t="s">
        <v>35</v>
      </c>
      <c r="G612" t="s">
        <v>28</v>
      </c>
      <c r="H612">
        <v>40</v>
      </c>
      <c r="I612">
        <v>20</v>
      </c>
      <c r="J612">
        <v>7</v>
      </c>
      <c r="L612">
        <v>2.6</v>
      </c>
      <c r="N612">
        <v>31</v>
      </c>
      <c r="O612">
        <v>50</v>
      </c>
      <c r="S612">
        <v>3</v>
      </c>
      <c r="T612">
        <v>8.4</v>
      </c>
      <c r="U612">
        <v>18.6</v>
      </c>
      <c r="V612">
        <v>945</v>
      </c>
      <c r="W612">
        <v>20</v>
      </c>
      <c r="X612" t="s">
        <v>155</v>
      </c>
    </row>
    <row r="613" spans="1:24">
      <c r="A613" t="str">
        <f>Hyperlink("https://www.diodes.com/part/view/DMN4034SSD","DMN4034SSD")</f>
        <v>DMN4034SSD</v>
      </c>
      <c r="B613" t="str">
        <f>Hyperlink("https://www.diodes.com/assets/Datasheets/DMN4034SSD.pdf","DMN4034SSD Datasheet")</f>
        <v>DMN4034SSD Datasheet</v>
      </c>
      <c r="C613" t="s">
        <v>34</v>
      </c>
      <c r="D613" t="s">
        <v>25</v>
      </c>
      <c r="E613" t="s">
        <v>26</v>
      </c>
      <c r="F613" t="s">
        <v>35</v>
      </c>
      <c r="G613" t="s">
        <v>28</v>
      </c>
      <c r="H613">
        <v>40</v>
      </c>
      <c r="I613">
        <v>20</v>
      </c>
      <c r="J613">
        <v>6.3</v>
      </c>
      <c r="L613">
        <v>1.8</v>
      </c>
      <c r="N613">
        <v>34</v>
      </c>
      <c r="O613">
        <v>59</v>
      </c>
      <c r="S613">
        <v>3</v>
      </c>
      <c r="T613">
        <v>4.9</v>
      </c>
      <c r="U613">
        <v>10</v>
      </c>
      <c r="V613">
        <v>453</v>
      </c>
      <c r="X613" t="s">
        <v>155</v>
      </c>
    </row>
    <row r="614" spans="1:24">
      <c r="A614" t="str">
        <f>Hyperlink("https://www.diodes.com/part/view/DMN4034SSS","DMN4034SSS")</f>
        <v>DMN4034SSS</v>
      </c>
      <c r="B614" t="str">
        <f>Hyperlink("https://www.diodes.com/assets/Datasheets/DMN4034SSS.pdf","DMN4034SSS Datasheet")</f>
        <v>DMN4034SSS Datasheet</v>
      </c>
      <c r="C614" t="s">
        <v>24</v>
      </c>
      <c r="D614" t="s">
        <v>25</v>
      </c>
      <c r="E614" t="s">
        <v>26</v>
      </c>
      <c r="F614" t="s">
        <v>27</v>
      </c>
      <c r="G614" t="s">
        <v>28</v>
      </c>
      <c r="H614">
        <v>40</v>
      </c>
      <c r="I614">
        <v>20</v>
      </c>
      <c r="J614">
        <v>2.8</v>
      </c>
      <c r="L614">
        <v>1.6</v>
      </c>
      <c r="N614">
        <v>34</v>
      </c>
      <c r="O614">
        <v>59</v>
      </c>
      <c r="S614">
        <v>3</v>
      </c>
      <c r="T614">
        <v>4.9</v>
      </c>
      <c r="U614">
        <v>10</v>
      </c>
      <c r="V614">
        <v>453</v>
      </c>
      <c r="X614" t="s">
        <v>155</v>
      </c>
    </row>
    <row r="615" spans="1:24">
      <c r="A615" t="str">
        <f>Hyperlink("https://www.diodes.com/part/view/DMN4034SSSQ","DMN4034SSSQ")</f>
        <v>DMN4034SSSQ</v>
      </c>
      <c r="B615" t="str">
        <f>Hyperlink("https://www.diodes.com/assets/Datasheets/DMN4034SSSQ.pdf","DMN4034SSSQ Datasheet")</f>
        <v>DMN4034SSSQ Datasheet</v>
      </c>
      <c r="C615" t="s">
        <v>700</v>
      </c>
      <c r="D615" t="s">
        <v>25</v>
      </c>
      <c r="E615" t="s">
        <v>33</v>
      </c>
      <c r="F615" t="s">
        <v>27</v>
      </c>
      <c r="G615" t="s">
        <v>28</v>
      </c>
      <c r="H615">
        <v>40</v>
      </c>
      <c r="I615">
        <v>20</v>
      </c>
      <c r="J615">
        <v>6.5</v>
      </c>
      <c r="L615">
        <v>2.1</v>
      </c>
      <c r="N615">
        <v>34</v>
      </c>
      <c r="O615">
        <v>59</v>
      </c>
      <c r="S615">
        <v>3</v>
      </c>
      <c r="T615">
        <v>7.7</v>
      </c>
      <c r="U615">
        <v>15.5</v>
      </c>
      <c r="X615" t="s">
        <v>155</v>
      </c>
    </row>
    <row r="616" spans="1:24">
      <c r="A616" t="str">
        <f>Hyperlink("https://www.diodes.com/part/view/DMN4035L","DMN4035L")</f>
        <v>DMN4035L</v>
      </c>
      <c r="B616" t="str">
        <f>Hyperlink("https://www.diodes.com/assets/Datasheets/DMN4035L.pdf","DMN4035L Datasheet")</f>
        <v>DMN4035L Datasheet</v>
      </c>
      <c r="C616" t="s">
        <v>24</v>
      </c>
      <c r="D616" t="s">
        <v>25</v>
      </c>
      <c r="E616" t="s">
        <v>26</v>
      </c>
      <c r="F616" t="s">
        <v>27</v>
      </c>
      <c r="G616" t="s">
        <v>28</v>
      </c>
      <c r="H616">
        <v>40</v>
      </c>
      <c r="I616">
        <v>20</v>
      </c>
      <c r="J616">
        <v>4.6</v>
      </c>
      <c r="L616">
        <v>1.4</v>
      </c>
      <c r="N616">
        <v>42</v>
      </c>
      <c r="O616">
        <v>52</v>
      </c>
      <c r="S616">
        <v>3</v>
      </c>
      <c r="T616">
        <v>5.9</v>
      </c>
      <c r="U616">
        <v>12.5</v>
      </c>
      <c r="V616">
        <v>574</v>
      </c>
      <c r="W616">
        <v>20</v>
      </c>
      <c r="X616" t="s">
        <v>32</v>
      </c>
    </row>
    <row r="617" spans="1:24">
      <c r="A617" t="str">
        <f>Hyperlink("https://www.diodes.com/part/view/DMN4035LQ","DMN4035LQ")</f>
        <v>DMN4035LQ</v>
      </c>
      <c r="B617" t="str">
        <f>Hyperlink("https://www.diodes.com/assets/Datasheets/DMN4035LQ.pdf","DMN4035LQ Datasheet")</f>
        <v>DMN4035LQ Datasheet</v>
      </c>
      <c r="C617" t="s">
        <v>24</v>
      </c>
      <c r="D617" t="s">
        <v>25</v>
      </c>
      <c r="E617" t="s">
        <v>33</v>
      </c>
      <c r="F617" t="s">
        <v>27</v>
      </c>
      <c r="G617" t="s">
        <v>28</v>
      </c>
      <c r="H617">
        <v>40</v>
      </c>
      <c r="I617">
        <v>20</v>
      </c>
      <c r="J617">
        <v>4.6</v>
      </c>
      <c r="L617">
        <v>1.4</v>
      </c>
      <c r="N617">
        <v>42</v>
      </c>
      <c r="O617">
        <v>52</v>
      </c>
      <c r="S617">
        <v>3</v>
      </c>
      <c r="T617">
        <v>5.9</v>
      </c>
      <c r="U617">
        <v>12.5</v>
      </c>
      <c r="V617">
        <v>574</v>
      </c>
      <c r="W617">
        <v>20</v>
      </c>
      <c r="X617" t="s">
        <v>32</v>
      </c>
    </row>
    <row r="618" spans="1:24">
      <c r="A618" t="str">
        <f>Hyperlink("https://www.diodes.com/part/view/DMN4036LK3","DMN4036LK3")</f>
        <v>DMN4036LK3</v>
      </c>
      <c r="B618" t="str">
        <f>Hyperlink("https://www.diodes.com/assets/Datasheets/DMN4036LK3.pdf","DMN4036LK3 Datasheet")</f>
        <v>DMN4036LK3 Datasheet</v>
      </c>
      <c r="C618" t="s">
        <v>24</v>
      </c>
      <c r="D618" t="s">
        <v>25</v>
      </c>
      <c r="E618" t="s">
        <v>26</v>
      </c>
      <c r="F618" t="s">
        <v>27</v>
      </c>
      <c r="G618" t="s">
        <v>28</v>
      </c>
      <c r="H618">
        <v>40</v>
      </c>
      <c r="I618">
        <v>20</v>
      </c>
      <c r="J618">
        <v>8.5</v>
      </c>
      <c r="L618">
        <v>4.1</v>
      </c>
      <c r="N618">
        <v>36</v>
      </c>
      <c r="O618">
        <v>61</v>
      </c>
      <c r="S618">
        <v>3</v>
      </c>
      <c r="T618">
        <v>4.9</v>
      </c>
      <c r="U618">
        <v>9.2</v>
      </c>
      <c r="V618">
        <v>453</v>
      </c>
      <c r="X618" t="s">
        <v>507</v>
      </c>
    </row>
    <row r="619" spans="1:24">
      <c r="A619" t="str">
        <f>Hyperlink("https://www.diodes.com/part/view/DMN4060SVT","DMN4060SVT")</f>
        <v>DMN4060SVT</v>
      </c>
      <c r="B619" t="str">
        <f>Hyperlink("https://www.diodes.com/assets/Datasheets/DMN4060SVT.pdf","DMN4060SVT Datasheet")</f>
        <v>DMN4060SVT Datasheet</v>
      </c>
      <c r="C619" t="s">
        <v>40</v>
      </c>
      <c r="D619" t="s">
        <v>25</v>
      </c>
      <c r="E619" t="s">
        <v>26</v>
      </c>
      <c r="F619" t="s">
        <v>27</v>
      </c>
      <c r="G619" t="s">
        <v>28</v>
      </c>
      <c r="H619">
        <v>45</v>
      </c>
      <c r="I619">
        <v>20</v>
      </c>
      <c r="J619">
        <v>4.8</v>
      </c>
      <c r="L619">
        <v>1.8</v>
      </c>
      <c r="N619">
        <v>46</v>
      </c>
      <c r="O619">
        <v>62</v>
      </c>
      <c r="S619">
        <v>3</v>
      </c>
      <c r="T619">
        <v>10.4</v>
      </c>
      <c r="U619">
        <v>22.4</v>
      </c>
      <c r="X619" t="s">
        <v>128</v>
      </c>
    </row>
    <row r="620" spans="1:24">
      <c r="A620" t="str">
        <f>Hyperlink("https://www.diodes.com/part/view/DMN4060SVTQ","DMN4060SVTQ")</f>
        <v>DMN4060SVTQ</v>
      </c>
      <c r="B620" t="str">
        <f>Hyperlink("https://www.diodes.com/assets/Datasheets/DMN4060SVTQ-.pdf","DMN4060SVTQ Datasheet")</f>
        <v>DMN4060SVTQ Datasheet</v>
      </c>
      <c r="C620" t="s">
        <v>703</v>
      </c>
      <c r="D620" t="s">
        <v>25</v>
      </c>
      <c r="E620" t="s">
        <v>33</v>
      </c>
      <c r="F620" t="s">
        <v>27</v>
      </c>
      <c r="G620" t="s">
        <v>28</v>
      </c>
      <c r="H620">
        <v>45</v>
      </c>
      <c r="I620">
        <v>20</v>
      </c>
      <c r="J620">
        <v>4.3</v>
      </c>
      <c r="L620">
        <v>1.7</v>
      </c>
      <c r="N620">
        <v>46</v>
      </c>
      <c r="O620">
        <v>62</v>
      </c>
      <c r="R620">
        <v>1</v>
      </c>
      <c r="S620">
        <v>3</v>
      </c>
      <c r="T620">
        <v>10</v>
      </c>
      <c r="U620">
        <v>20</v>
      </c>
      <c r="V620">
        <v>1159</v>
      </c>
      <c r="W620">
        <v>25</v>
      </c>
      <c r="X620" t="s">
        <v>128</v>
      </c>
    </row>
    <row r="621" spans="1:24">
      <c r="A621" t="str">
        <f>Hyperlink("https://www.diodes.com/part/view/DMN4468LSS","DMN4468LSS")</f>
        <v>DMN4468LSS</v>
      </c>
      <c r="B621" t="str">
        <f>Hyperlink("https://www.diodes.com/assets/Datasheets/ds31773.pdf","DMN4468LSS Datasheet")</f>
        <v>DMN4468LSS Datasheet</v>
      </c>
      <c r="C621" t="s">
        <v>24</v>
      </c>
      <c r="D621" t="s">
        <v>25</v>
      </c>
      <c r="E621" t="s">
        <v>26</v>
      </c>
      <c r="F621" t="s">
        <v>27</v>
      </c>
      <c r="G621" t="s">
        <v>28</v>
      </c>
      <c r="H621">
        <v>30</v>
      </c>
      <c r="I621">
        <v>20</v>
      </c>
      <c r="J621">
        <v>10</v>
      </c>
      <c r="L621">
        <v>1.52</v>
      </c>
      <c r="N621">
        <v>14</v>
      </c>
      <c r="O621">
        <v>20</v>
      </c>
      <c r="S621">
        <v>1.95</v>
      </c>
      <c r="U621">
        <v>18.85</v>
      </c>
      <c r="V621">
        <v>867</v>
      </c>
      <c r="X621" t="s">
        <v>155</v>
      </c>
    </row>
    <row r="622" spans="1:24">
      <c r="A622" t="str">
        <f>Hyperlink("https://www.diodes.com/part/view/DMN4800LSS","DMN4800LSS")</f>
        <v>DMN4800LSS</v>
      </c>
      <c r="B622" t="str">
        <f>Hyperlink("https://www.diodes.com/assets/Datasheets/ds31736.pdf","DMN4800LSS Datasheet")</f>
        <v>DMN4800LSS Datasheet</v>
      </c>
      <c r="C622" t="s">
        <v>24</v>
      </c>
      <c r="D622" t="s">
        <v>25</v>
      </c>
      <c r="E622" t="s">
        <v>26</v>
      </c>
      <c r="F622" t="s">
        <v>27</v>
      </c>
      <c r="G622" t="s">
        <v>28</v>
      </c>
      <c r="H622">
        <v>30</v>
      </c>
      <c r="I622">
        <v>25</v>
      </c>
      <c r="J622">
        <v>8.6</v>
      </c>
      <c r="L622">
        <v>1.7</v>
      </c>
      <c r="N622">
        <v>14</v>
      </c>
      <c r="O622">
        <v>20</v>
      </c>
      <c r="S622">
        <v>1.6</v>
      </c>
      <c r="T622" t="s">
        <v>516</v>
      </c>
      <c r="V622">
        <v>798</v>
      </c>
      <c r="X622" t="s">
        <v>155</v>
      </c>
    </row>
    <row r="623" spans="1:24">
      <c r="A623" t="str">
        <f>Hyperlink("https://www.diodes.com/part/view/DMN4800LSSL","DMN4800LSSL")</f>
        <v>DMN4800LSSL</v>
      </c>
      <c r="B623" t="str">
        <f>Hyperlink("https://www.diodes.com/assets/Datasheets/DMN4800LSSL.pdf","DMN4800LSSL Datasheet")</f>
        <v>DMN4800LSSL Datasheet</v>
      </c>
      <c r="C623" t="s">
        <v>24</v>
      </c>
      <c r="D623" t="s">
        <v>25</v>
      </c>
      <c r="E623" t="s">
        <v>26</v>
      </c>
      <c r="F623" t="s">
        <v>27</v>
      </c>
      <c r="G623" t="s">
        <v>28</v>
      </c>
      <c r="H623">
        <v>30</v>
      </c>
      <c r="I623">
        <v>20</v>
      </c>
      <c r="J623">
        <v>8</v>
      </c>
      <c r="L623">
        <v>1.46</v>
      </c>
      <c r="N623">
        <v>14</v>
      </c>
      <c r="O623">
        <v>20</v>
      </c>
      <c r="S623">
        <v>1.6</v>
      </c>
      <c r="T623" t="s">
        <v>516</v>
      </c>
      <c r="V623">
        <v>798</v>
      </c>
      <c r="X623" t="s">
        <v>155</v>
      </c>
    </row>
    <row r="624" spans="1:24">
      <c r="A624" t="str">
        <f>Hyperlink("https://www.diodes.com/part/view/DMN4800LSSQ","DMN4800LSSQ")</f>
        <v>DMN4800LSSQ</v>
      </c>
      <c r="B624" t="str">
        <f>Hyperlink("https://www.diodes.com/assets/Datasheets/DMN4800LSSQ.pdf","DMN4800LSSQ Datasheet")</f>
        <v>DMN4800LSSQ Datasheet</v>
      </c>
      <c r="C624" t="s">
        <v>504</v>
      </c>
      <c r="D624" t="s">
        <v>25</v>
      </c>
      <c r="E624" t="s">
        <v>33</v>
      </c>
      <c r="F624" t="s">
        <v>27</v>
      </c>
      <c r="G624" t="s">
        <v>28</v>
      </c>
      <c r="H624">
        <v>30</v>
      </c>
      <c r="I624">
        <v>25</v>
      </c>
      <c r="J624">
        <v>8.6</v>
      </c>
      <c r="L624">
        <v>1.7</v>
      </c>
      <c r="N624">
        <v>14</v>
      </c>
      <c r="O624">
        <v>20</v>
      </c>
      <c r="S624">
        <v>1.6</v>
      </c>
      <c r="T624" t="s">
        <v>516</v>
      </c>
      <c r="V624">
        <v>798</v>
      </c>
      <c r="W624">
        <v>10</v>
      </c>
      <c r="X624" t="s">
        <v>155</v>
      </c>
    </row>
    <row r="625" spans="1:24">
      <c r="A625" t="str">
        <f>Hyperlink("https://www.diodes.com/part/view/DMN5040LSS","DMN5040LSS")</f>
        <v>DMN5040LSS</v>
      </c>
      <c r="B625" t="str">
        <f>Hyperlink("https://www.diodes.com/assets/Datasheets/DMN5040LSS.pdf","DMN5040LSS Datasheet")</f>
        <v>DMN5040LSS Datasheet</v>
      </c>
      <c r="C625" t="s">
        <v>67</v>
      </c>
      <c r="D625" t="s">
        <v>25</v>
      </c>
      <c r="E625" t="s">
        <v>26</v>
      </c>
      <c r="F625" t="s">
        <v>27</v>
      </c>
      <c r="G625" t="s">
        <v>28</v>
      </c>
      <c r="H625">
        <v>50</v>
      </c>
      <c r="I625">
        <v>20</v>
      </c>
      <c r="J625">
        <v>5.2</v>
      </c>
      <c r="L625">
        <v>1.6</v>
      </c>
      <c r="N625">
        <v>40</v>
      </c>
      <c r="O625">
        <v>60</v>
      </c>
      <c r="S625">
        <v>3</v>
      </c>
      <c r="T625">
        <v>6.5</v>
      </c>
      <c r="U625">
        <v>14.5</v>
      </c>
      <c r="V625">
        <v>836</v>
      </c>
      <c r="W625">
        <v>30</v>
      </c>
      <c r="X625" t="s">
        <v>155</v>
      </c>
    </row>
    <row r="626" spans="1:24">
      <c r="A626" t="str">
        <f>Hyperlink("https://www.diodes.com/part/view/DMN52D0LT","DMN52D0LT")</f>
        <v>DMN52D0LT</v>
      </c>
      <c r="B626" t="str">
        <f>Hyperlink("https://www.diodes.com/assets/Datasheets/DMN52D0LT.pdf","DMN52D0LT Datasheet")</f>
        <v>DMN52D0LT Datasheet</v>
      </c>
      <c r="C626" t="s">
        <v>67</v>
      </c>
      <c r="D626" t="s">
        <v>28</v>
      </c>
      <c r="E626" t="s">
        <v>26</v>
      </c>
      <c r="F626" t="s">
        <v>27</v>
      </c>
      <c r="G626" t="s">
        <v>25</v>
      </c>
      <c r="H626">
        <v>50</v>
      </c>
      <c r="I626">
        <v>12</v>
      </c>
      <c r="J626" t="s">
        <v>704</v>
      </c>
      <c r="L626">
        <v>0.5</v>
      </c>
      <c r="O626" t="s">
        <v>705</v>
      </c>
      <c r="P626">
        <v>2500</v>
      </c>
      <c r="Q626">
        <v>4000</v>
      </c>
      <c r="R626">
        <v>0.49</v>
      </c>
      <c r="S626">
        <v>1.2</v>
      </c>
      <c r="T626">
        <v>0.8</v>
      </c>
      <c r="U626">
        <v>1.5</v>
      </c>
      <c r="V626">
        <v>40</v>
      </c>
      <c r="W626">
        <v>25</v>
      </c>
      <c r="X626" t="s">
        <v>41</v>
      </c>
    </row>
    <row r="627" spans="1:24">
      <c r="A627" t="str">
        <f>Hyperlink("https://www.diodes.com/part/view/DMN52D0U","DMN52D0U")</f>
        <v>DMN52D0U</v>
      </c>
      <c r="B627" t="str">
        <f>Hyperlink("https://www.diodes.com/assets/Datasheets/DMN52D0U.pdf","DMN52D0U Datasheet")</f>
        <v>DMN52D0U Datasheet</v>
      </c>
      <c r="C627" t="s">
        <v>706</v>
      </c>
      <c r="D627" t="s">
        <v>25</v>
      </c>
      <c r="E627" t="s">
        <v>26</v>
      </c>
      <c r="F627" t="s">
        <v>27</v>
      </c>
      <c r="G627" t="s">
        <v>25</v>
      </c>
      <c r="H627">
        <v>50</v>
      </c>
      <c r="I627">
        <v>12</v>
      </c>
      <c r="J627" t="s">
        <v>707</v>
      </c>
      <c r="L627">
        <v>0.7</v>
      </c>
      <c r="O627" t="s">
        <v>705</v>
      </c>
      <c r="P627">
        <v>2500</v>
      </c>
      <c r="Q627">
        <v>4000</v>
      </c>
      <c r="R627">
        <v>0.49</v>
      </c>
      <c r="S627">
        <v>1</v>
      </c>
      <c r="T627">
        <v>0.8</v>
      </c>
      <c r="U627">
        <v>1.5</v>
      </c>
      <c r="V627">
        <v>39</v>
      </c>
      <c r="W627">
        <v>25</v>
      </c>
      <c r="X627" t="s">
        <v>32</v>
      </c>
    </row>
    <row r="628" spans="1:24">
      <c r="A628" t="str">
        <f>Hyperlink("https://www.diodes.com/part/view/DMN52D0UDM","DMN52D0UDM")</f>
        <v>DMN52D0UDM</v>
      </c>
      <c r="B628" t="str">
        <f>Hyperlink("https://www.diodes.com/assets/Datasheets/DMN52D0UDM.pdf","DMN52D0UDM Datasheet")</f>
        <v>DMN52D0UDM Datasheet</v>
      </c>
      <c r="C628" t="s">
        <v>706</v>
      </c>
      <c r="D628" t="s">
        <v>28</v>
      </c>
      <c r="E628" t="s">
        <v>26</v>
      </c>
      <c r="F628" t="s">
        <v>35</v>
      </c>
      <c r="G628" t="s">
        <v>25</v>
      </c>
      <c r="H628">
        <v>50</v>
      </c>
      <c r="I628">
        <v>12</v>
      </c>
      <c r="J628" t="s">
        <v>708</v>
      </c>
      <c r="L628">
        <v>0.74</v>
      </c>
      <c r="O628" t="s">
        <v>709</v>
      </c>
      <c r="P628">
        <v>2500</v>
      </c>
      <c r="Q628">
        <v>4000</v>
      </c>
      <c r="R628">
        <v>0.49</v>
      </c>
      <c r="S628">
        <v>1</v>
      </c>
      <c r="T628">
        <v>0.9</v>
      </c>
      <c r="U628">
        <v>1.6</v>
      </c>
      <c r="V628">
        <v>42.4</v>
      </c>
      <c r="W628">
        <v>25</v>
      </c>
      <c r="X628" t="s">
        <v>261</v>
      </c>
    </row>
    <row r="629" spans="1:24">
      <c r="A629" t="str">
        <f>Hyperlink("https://www.diodes.com/part/view/DMN52D0UDMQ","DMN52D0UDMQ")</f>
        <v>DMN52D0UDMQ</v>
      </c>
      <c r="B629" t="str">
        <f>Hyperlink("https://www.diodes.com/assets/Datasheets/DMN52D0UDMQ.pdf","DMN52D0UDMQ Datasheet")</f>
        <v>DMN52D0UDMQ Datasheet</v>
      </c>
      <c r="C629" t="s">
        <v>706</v>
      </c>
      <c r="D629" t="s">
        <v>25</v>
      </c>
      <c r="E629" t="s">
        <v>33</v>
      </c>
      <c r="F629" t="s">
        <v>35</v>
      </c>
      <c r="G629" t="s">
        <v>25</v>
      </c>
      <c r="H629">
        <v>50</v>
      </c>
      <c r="I629">
        <v>12</v>
      </c>
      <c r="J629" t="s">
        <v>708</v>
      </c>
      <c r="L629">
        <v>0.74</v>
      </c>
      <c r="O629" t="s">
        <v>709</v>
      </c>
      <c r="P629">
        <v>2500</v>
      </c>
      <c r="Q629">
        <v>4000</v>
      </c>
      <c r="R629">
        <v>0.49</v>
      </c>
      <c r="S629">
        <v>1</v>
      </c>
      <c r="T629">
        <v>0.9</v>
      </c>
      <c r="U629">
        <v>1.6</v>
      </c>
      <c r="V629">
        <v>42.4</v>
      </c>
      <c r="W629">
        <v>25</v>
      </c>
      <c r="X629" t="s">
        <v>261</v>
      </c>
    </row>
    <row r="630" spans="1:24">
      <c r="A630" t="str">
        <f>Hyperlink("https://www.diodes.com/part/view/DMN52D0UDW","DMN52D0UDW")</f>
        <v>DMN52D0UDW</v>
      </c>
      <c r="B630" t="str">
        <f>Hyperlink("https://www.diodes.com/assets/Datasheets/DMN52D0UDW.pdf","DMN52D0UDW Datasheet")</f>
        <v>DMN52D0UDW Datasheet</v>
      </c>
      <c r="C630" t="s">
        <v>706</v>
      </c>
      <c r="D630" t="s">
        <v>28</v>
      </c>
      <c r="E630" t="s">
        <v>26</v>
      </c>
      <c r="F630" t="s">
        <v>35</v>
      </c>
      <c r="G630" t="s">
        <v>25</v>
      </c>
      <c r="H630">
        <v>50</v>
      </c>
      <c r="I630">
        <v>12</v>
      </c>
      <c r="J630" t="s">
        <v>710</v>
      </c>
      <c r="L630">
        <v>0.5</v>
      </c>
      <c r="O630" t="s">
        <v>711</v>
      </c>
      <c r="P630">
        <v>2500</v>
      </c>
      <c r="Q630">
        <v>4000</v>
      </c>
      <c r="R630">
        <v>0.49</v>
      </c>
      <c r="S630">
        <v>1</v>
      </c>
      <c r="T630">
        <v>0.7</v>
      </c>
      <c r="U630">
        <v>1.5</v>
      </c>
      <c r="V630">
        <v>42.3</v>
      </c>
      <c r="W630">
        <v>25</v>
      </c>
      <c r="X630" t="s">
        <v>37</v>
      </c>
    </row>
    <row r="631" spans="1:24">
      <c r="A631" t="str">
        <f>Hyperlink("https://www.diodes.com/part/view/DMN52D0UDWQ","DMN52D0UDWQ")</f>
        <v>DMN52D0UDWQ</v>
      </c>
      <c r="B631" t="str">
        <f>Hyperlink("https://www.diodes.com/assets/Datasheets/DMN52D0UDWQ.pdf","DMN52D0UDWQ Datasheet")</f>
        <v>DMN52D0UDWQ Datasheet</v>
      </c>
      <c r="C631" t="s">
        <v>706</v>
      </c>
      <c r="D631" t="s">
        <v>25</v>
      </c>
      <c r="E631" t="s">
        <v>33</v>
      </c>
      <c r="F631" t="s">
        <v>35</v>
      </c>
      <c r="G631" t="s">
        <v>25</v>
      </c>
      <c r="H631">
        <v>50</v>
      </c>
      <c r="I631">
        <v>12</v>
      </c>
      <c r="J631" t="s">
        <v>710</v>
      </c>
      <c r="L631">
        <v>0.5</v>
      </c>
      <c r="O631" t="s">
        <v>711</v>
      </c>
      <c r="P631">
        <v>2500</v>
      </c>
      <c r="Q631">
        <v>4000</v>
      </c>
      <c r="R631">
        <v>0.49</v>
      </c>
      <c r="S631">
        <v>1</v>
      </c>
      <c r="T631">
        <v>0.7</v>
      </c>
      <c r="U631">
        <v>1.5</v>
      </c>
      <c r="V631">
        <v>42.3</v>
      </c>
      <c r="W631">
        <v>25</v>
      </c>
      <c r="X631" t="s">
        <v>37</v>
      </c>
    </row>
    <row r="632" spans="1:24">
      <c r="A632" t="str">
        <f>Hyperlink("https://www.diodes.com/part/view/DMN52D0UQ","DMN52D0UQ")</f>
        <v>DMN52D0UQ</v>
      </c>
      <c r="B632" t="str">
        <f>Hyperlink("https://www.diodes.com/assets/Datasheets/DMN52D0UQ.pdf","DMN52D0UQ Datasheet")</f>
        <v>DMN52D0UQ Datasheet</v>
      </c>
      <c r="C632" t="s">
        <v>706</v>
      </c>
      <c r="D632" t="s">
        <v>25</v>
      </c>
      <c r="E632" t="s">
        <v>33</v>
      </c>
      <c r="F632" t="s">
        <v>27</v>
      </c>
      <c r="G632" t="s">
        <v>25</v>
      </c>
      <c r="H632">
        <v>50</v>
      </c>
      <c r="I632">
        <v>12</v>
      </c>
      <c r="J632" t="s">
        <v>712</v>
      </c>
      <c r="L632">
        <v>0.7</v>
      </c>
      <c r="O632" t="s">
        <v>705</v>
      </c>
      <c r="P632">
        <v>2500</v>
      </c>
      <c r="Q632">
        <v>4000</v>
      </c>
      <c r="R632">
        <v>0.49</v>
      </c>
      <c r="S632">
        <v>1</v>
      </c>
      <c r="T632">
        <v>0.8</v>
      </c>
      <c r="U632">
        <v>1.5</v>
      </c>
      <c r="V632">
        <v>39</v>
      </c>
      <c r="W632">
        <v>25</v>
      </c>
      <c r="X632" t="s">
        <v>32</v>
      </c>
    </row>
    <row r="633" spans="1:24">
      <c r="A633" t="str">
        <f>Hyperlink("https://www.diodes.com/part/view/DMN52D0UV","DMN52D0UV")</f>
        <v>DMN52D0UV</v>
      </c>
      <c r="B633" t="str">
        <f>Hyperlink("https://www.diodes.com/assets/Datasheets/DMN52D0UV.pdf","DMN52D0UV Datasheet")</f>
        <v>DMN52D0UV Datasheet</v>
      </c>
      <c r="C633" t="s">
        <v>67</v>
      </c>
      <c r="D633" t="s">
        <v>28</v>
      </c>
      <c r="E633" t="s">
        <v>26</v>
      </c>
      <c r="F633" t="s">
        <v>35</v>
      </c>
      <c r="G633" t="s">
        <v>25</v>
      </c>
      <c r="H633">
        <v>50</v>
      </c>
      <c r="I633">
        <v>12</v>
      </c>
      <c r="J633" t="s">
        <v>713</v>
      </c>
      <c r="L633">
        <v>0.89</v>
      </c>
      <c r="O633" t="s">
        <v>705</v>
      </c>
      <c r="P633">
        <v>2500</v>
      </c>
      <c r="Q633">
        <v>4000</v>
      </c>
      <c r="R633">
        <v>0.49</v>
      </c>
      <c r="S633">
        <v>1</v>
      </c>
      <c r="T633">
        <v>0.8</v>
      </c>
      <c r="U633">
        <v>1.5</v>
      </c>
      <c r="V633">
        <v>39</v>
      </c>
      <c r="W633">
        <v>25</v>
      </c>
      <c r="X633" t="s">
        <v>43</v>
      </c>
    </row>
    <row r="634" spans="1:24">
      <c r="A634" t="str">
        <f>Hyperlink("https://www.diodes.com/part/view/DMN52D0UVA","DMN52D0UVA")</f>
        <v>DMN52D0UVA</v>
      </c>
      <c r="B634" t="str">
        <f>Hyperlink("https://www.diodes.com/assets/Datasheets/DMN52D0UVA.pdf","DMN52D0UVA Datasheet")</f>
        <v>DMN52D0UVA Datasheet</v>
      </c>
      <c r="C634" t="s">
        <v>714</v>
      </c>
      <c r="D634" t="s">
        <v>28</v>
      </c>
      <c r="E634" t="s">
        <v>26</v>
      </c>
      <c r="F634" t="s">
        <v>35</v>
      </c>
      <c r="G634" t="s">
        <v>25</v>
      </c>
      <c r="H634">
        <v>50</v>
      </c>
      <c r="I634">
        <v>12</v>
      </c>
      <c r="J634" t="s">
        <v>713</v>
      </c>
      <c r="L634">
        <v>0.89</v>
      </c>
      <c r="O634" t="s">
        <v>705</v>
      </c>
      <c r="P634">
        <v>2500</v>
      </c>
      <c r="Q634">
        <v>4000</v>
      </c>
      <c r="R634">
        <v>0.49</v>
      </c>
      <c r="S634">
        <v>1</v>
      </c>
      <c r="T634">
        <v>0.8</v>
      </c>
      <c r="U634">
        <v>1.5</v>
      </c>
      <c r="V634">
        <v>39</v>
      </c>
      <c r="W634">
        <v>25</v>
      </c>
      <c r="X634" t="s">
        <v>43</v>
      </c>
    </row>
    <row r="635" spans="1:24">
      <c r="A635" t="str">
        <f>Hyperlink("https://www.diodes.com/part/view/DMN52D0UVQ","DMN52D0UVQ")</f>
        <v>DMN52D0UVQ</v>
      </c>
      <c r="B635" t="str">
        <f>Hyperlink("https://www.diodes.com/assets/Datasheets/DMN52D0UVQ.pdf","DMN52D0UVQ Datasheet")</f>
        <v>DMN52D0UVQ Datasheet</v>
      </c>
      <c r="C635" t="s">
        <v>706</v>
      </c>
      <c r="D635" t="s">
        <v>25</v>
      </c>
      <c r="E635" t="s">
        <v>33</v>
      </c>
      <c r="F635" t="s">
        <v>35</v>
      </c>
      <c r="G635" t="s">
        <v>25</v>
      </c>
      <c r="H635">
        <v>50</v>
      </c>
      <c r="I635">
        <v>12</v>
      </c>
      <c r="J635" t="s">
        <v>715</v>
      </c>
      <c r="L635">
        <v>0.89</v>
      </c>
      <c r="O635" t="s">
        <v>709</v>
      </c>
      <c r="P635">
        <v>2500</v>
      </c>
      <c r="Q635">
        <v>4000</v>
      </c>
      <c r="R635">
        <v>0.49</v>
      </c>
      <c r="S635">
        <v>1</v>
      </c>
      <c r="T635">
        <v>0.8</v>
      </c>
      <c r="U635">
        <v>1.5</v>
      </c>
      <c r="V635">
        <v>39</v>
      </c>
      <c r="W635">
        <v>25</v>
      </c>
      <c r="X635" t="s">
        <v>43</v>
      </c>
    </row>
    <row r="636" spans="1:24">
      <c r="A636" t="str">
        <f>Hyperlink("https://www.diodes.com/part/view/DMN52D0UVT","DMN52D0UVT")</f>
        <v>DMN52D0UVT</v>
      </c>
      <c r="B636" t="str">
        <f>Hyperlink("https://www.diodes.com/assets/Datasheets/DMN52D0UVT.pdf","DMN52D0UVT Datasheet")</f>
        <v>DMN52D0UVT Datasheet</v>
      </c>
      <c r="C636" t="s">
        <v>706</v>
      </c>
      <c r="D636" t="s">
        <v>28</v>
      </c>
      <c r="E636" t="s">
        <v>26</v>
      </c>
      <c r="F636" t="s">
        <v>35</v>
      </c>
      <c r="G636" t="s">
        <v>25</v>
      </c>
      <c r="H636">
        <v>50</v>
      </c>
      <c r="I636">
        <v>12</v>
      </c>
      <c r="J636" t="s">
        <v>716</v>
      </c>
      <c r="L636">
        <v>0.7</v>
      </c>
      <c r="O636" t="s">
        <v>709</v>
      </c>
      <c r="P636">
        <v>2500</v>
      </c>
      <c r="Q636">
        <v>4000</v>
      </c>
      <c r="R636">
        <v>0.49</v>
      </c>
      <c r="S636">
        <v>1</v>
      </c>
      <c r="T636">
        <v>0.7</v>
      </c>
      <c r="U636">
        <v>1.4</v>
      </c>
      <c r="V636">
        <v>41</v>
      </c>
      <c r="W636">
        <v>25</v>
      </c>
      <c r="X636" t="s">
        <v>128</v>
      </c>
    </row>
    <row r="637" spans="1:24">
      <c r="A637" t="str">
        <f>Hyperlink("https://www.diodes.com/part/view/DMN52D0UVTQ","DMN52D0UVTQ")</f>
        <v>DMN52D0UVTQ</v>
      </c>
      <c r="B637" t="str">
        <f>Hyperlink("https://www.diodes.com/assets/Datasheets/DMN52D0UVTQ.pdf","DMN52D0UVTQ Datasheet")</f>
        <v>DMN52D0UVTQ Datasheet</v>
      </c>
      <c r="C637" t="s">
        <v>706</v>
      </c>
      <c r="D637" t="s">
        <v>25</v>
      </c>
      <c r="E637" t="s">
        <v>33</v>
      </c>
      <c r="F637" t="s">
        <v>35</v>
      </c>
      <c r="G637" t="s">
        <v>25</v>
      </c>
      <c r="H637">
        <v>50</v>
      </c>
      <c r="I637">
        <v>12</v>
      </c>
      <c r="J637" t="s">
        <v>716</v>
      </c>
      <c r="L637">
        <v>0.7</v>
      </c>
      <c r="O637" t="s">
        <v>709</v>
      </c>
      <c r="P637">
        <v>2500</v>
      </c>
      <c r="Q637">
        <v>4000</v>
      </c>
      <c r="R637">
        <v>0.49</v>
      </c>
      <c r="S637">
        <v>1</v>
      </c>
      <c r="T637">
        <v>0.7</v>
      </c>
      <c r="U637">
        <v>1.4</v>
      </c>
      <c r="V637">
        <v>41</v>
      </c>
      <c r="W637">
        <v>25</v>
      </c>
      <c r="X637" t="s">
        <v>128</v>
      </c>
    </row>
    <row r="638" spans="1:24">
      <c r="A638" t="str">
        <f>Hyperlink("https://www.diodes.com/part/view/DMN52D0UW","DMN52D0UW")</f>
        <v>DMN52D0UW</v>
      </c>
      <c r="B638" t="str">
        <f>Hyperlink("https://www.diodes.com/assets/Datasheets/DMN52D0UW.pdf","DMN52D0UW Datasheet")</f>
        <v>DMN52D0UW Datasheet</v>
      </c>
      <c r="C638" t="s">
        <v>706</v>
      </c>
      <c r="D638" t="s">
        <v>28</v>
      </c>
      <c r="E638" t="s">
        <v>26</v>
      </c>
      <c r="F638" t="s">
        <v>27</v>
      </c>
      <c r="G638" t="s">
        <v>25</v>
      </c>
      <c r="H638">
        <v>50</v>
      </c>
      <c r="I638">
        <v>12</v>
      </c>
      <c r="J638" t="s">
        <v>717</v>
      </c>
      <c r="L638">
        <v>0.6</v>
      </c>
      <c r="O638" t="s">
        <v>711</v>
      </c>
      <c r="P638">
        <v>2500</v>
      </c>
      <c r="Q638">
        <v>4000</v>
      </c>
      <c r="R638">
        <v>0.49</v>
      </c>
      <c r="S638">
        <v>1</v>
      </c>
      <c r="T638">
        <v>0.8</v>
      </c>
      <c r="U638">
        <v>1.4</v>
      </c>
      <c r="V638">
        <v>39</v>
      </c>
      <c r="W638">
        <v>25</v>
      </c>
      <c r="X638" t="s">
        <v>60</v>
      </c>
    </row>
    <row r="639" spans="1:24">
      <c r="A639" t="str">
        <f>Hyperlink("https://www.diodes.com/part/view/DMN52D0UWQ","DMN52D0UWQ")</f>
        <v>DMN52D0UWQ</v>
      </c>
      <c r="B639" t="str">
        <f>Hyperlink("https://www.diodes.com/assets/Datasheets/DMN52D0UWQ.pdf","DMN52D0UWQ Datasheet")</f>
        <v>DMN52D0UWQ Datasheet</v>
      </c>
      <c r="C639" t="s">
        <v>706</v>
      </c>
      <c r="D639" t="s">
        <v>25</v>
      </c>
      <c r="E639" t="s">
        <v>33</v>
      </c>
      <c r="F639" t="s">
        <v>27</v>
      </c>
      <c r="G639" t="s">
        <v>25</v>
      </c>
      <c r="H639">
        <v>50</v>
      </c>
      <c r="I639">
        <v>12</v>
      </c>
      <c r="J639" t="s">
        <v>717</v>
      </c>
      <c r="L639">
        <v>0.6</v>
      </c>
      <c r="O639" t="s">
        <v>711</v>
      </c>
      <c r="P639">
        <v>2500</v>
      </c>
      <c r="Q639">
        <v>4000</v>
      </c>
      <c r="R639">
        <v>0.49</v>
      </c>
      <c r="S639">
        <v>1</v>
      </c>
      <c r="T639">
        <v>0.8</v>
      </c>
      <c r="U639">
        <v>1.4</v>
      </c>
      <c r="V639">
        <v>39</v>
      </c>
      <c r="W639">
        <v>25</v>
      </c>
      <c r="X639" t="s">
        <v>60</v>
      </c>
    </row>
    <row r="640" spans="1:24">
      <c r="A640" t="str">
        <f>Hyperlink("https://www.diodes.com/part/view/DMN53D0L","DMN53D0L")</f>
        <v>DMN53D0L</v>
      </c>
      <c r="B640" t="str">
        <f>Hyperlink("https://www.diodes.com/assets/Datasheets/DMN53D0L.pdf","DMN53D0L Datasheet")</f>
        <v>DMN53D0L Datasheet</v>
      </c>
      <c r="C640" t="s">
        <v>24</v>
      </c>
      <c r="D640" t="s">
        <v>25</v>
      </c>
      <c r="E640" t="s">
        <v>26</v>
      </c>
      <c r="F640" t="s">
        <v>27</v>
      </c>
      <c r="G640" t="s">
        <v>25</v>
      </c>
      <c r="H640">
        <v>50</v>
      </c>
      <c r="I640">
        <v>20</v>
      </c>
      <c r="J640">
        <v>0.5</v>
      </c>
      <c r="L640">
        <v>0.54</v>
      </c>
      <c r="N640">
        <v>1600</v>
      </c>
      <c r="O640">
        <v>2500</v>
      </c>
      <c r="P640">
        <v>4500</v>
      </c>
      <c r="S640">
        <v>1.5</v>
      </c>
      <c r="T640">
        <v>0.6</v>
      </c>
      <c r="V640">
        <v>46</v>
      </c>
      <c r="X640" t="s">
        <v>32</v>
      </c>
    </row>
    <row r="641" spans="1:24">
      <c r="A641" t="str">
        <f>Hyperlink("https://www.diodes.com/part/view/DMN53D0LDW","DMN53D0LDW")</f>
        <v>DMN53D0LDW</v>
      </c>
      <c r="B641" t="str">
        <f>Hyperlink("https://www.diodes.com/assets/Datasheets/DMN53D0LDW.pdf","DMN53D0LDW Datasheet")</f>
        <v>DMN53D0LDW Datasheet</v>
      </c>
      <c r="C641" t="s">
        <v>34</v>
      </c>
      <c r="D641" t="s">
        <v>25</v>
      </c>
      <c r="E641" t="s">
        <v>26</v>
      </c>
      <c r="F641" t="s">
        <v>35</v>
      </c>
      <c r="G641" t="s">
        <v>25</v>
      </c>
      <c r="H641">
        <v>50</v>
      </c>
      <c r="I641">
        <v>20</v>
      </c>
      <c r="J641">
        <v>0.36</v>
      </c>
      <c r="L641">
        <v>0.31</v>
      </c>
      <c r="N641">
        <v>1600</v>
      </c>
      <c r="O641">
        <v>2500</v>
      </c>
      <c r="P641">
        <v>4500</v>
      </c>
      <c r="S641">
        <v>1.5</v>
      </c>
      <c r="T641">
        <v>0.6</v>
      </c>
      <c r="V641">
        <v>46</v>
      </c>
      <c r="X641" t="s">
        <v>37</v>
      </c>
    </row>
    <row r="642" spans="1:24">
      <c r="A642" t="str">
        <f>Hyperlink("https://www.diodes.com/part/view/DMN53D0LDWQ","DMN53D0LDWQ")</f>
        <v>DMN53D0LDWQ</v>
      </c>
      <c r="B642" t="str">
        <f>Hyperlink("https://www.diodes.com/assets/Datasheets/DMN53D0LDWQ.pdf","DMN53D0LDWQ Datasheet")</f>
        <v>DMN53D0LDWQ Datasheet</v>
      </c>
      <c r="C642" t="s">
        <v>718</v>
      </c>
      <c r="D642" t="s">
        <v>25</v>
      </c>
      <c r="E642" t="s">
        <v>33</v>
      </c>
      <c r="F642" t="s">
        <v>35</v>
      </c>
      <c r="G642" t="s">
        <v>25</v>
      </c>
      <c r="H642">
        <v>50</v>
      </c>
      <c r="I642">
        <v>20</v>
      </c>
      <c r="J642">
        <v>0.46</v>
      </c>
      <c r="L642">
        <v>0.5</v>
      </c>
      <c r="N642">
        <v>1600</v>
      </c>
      <c r="O642">
        <v>2500</v>
      </c>
      <c r="P642">
        <v>4500</v>
      </c>
      <c r="S642">
        <v>1.5</v>
      </c>
      <c r="T642">
        <v>0.7</v>
      </c>
      <c r="U642">
        <v>1.4</v>
      </c>
      <c r="V642">
        <v>49.5</v>
      </c>
      <c r="W642">
        <v>25</v>
      </c>
      <c r="X642" t="s">
        <v>37</v>
      </c>
    </row>
    <row r="643" spans="1:24">
      <c r="A643" t="str">
        <f>Hyperlink("https://www.diodes.com/part/view/DMN53D0LQ","DMN53D0LQ")</f>
        <v>DMN53D0LQ</v>
      </c>
      <c r="B643" t="str">
        <f>Hyperlink("https://www.diodes.com/assets/Datasheets/DMN53D0LQ.pdf","DMN53D0LQ Datasheet")</f>
        <v>DMN53D0LQ Datasheet</v>
      </c>
      <c r="C643" t="s">
        <v>24</v>
      </c>
      <c r="D643" t="s">
        <v>25</v>
      </c>
      <c r="E643" t="s">
        <v>33</v>
      </c>
      <c r="F643" t="s">
        <v>27</v>
      </c>
      <c r="G643" t="s">
        <v>25</v>
      </c>
      <c r="H643">
        <v>50</v>
      </c>
      <c r="I643">
        <v>20</v>
      </c>
      <c r="J643">
        <v>0.5</v>
      </c>
      <c r="L643">
        <v>0.54</v>
      </c>
      <c r="N643">
        <v>1600</v>
      </c>
      <c r="O643">
        <v>2500</v>
      </c>
      <c r="P643">
        <v>4500</v>
      </c>
      <c r="S643">
        <v>1.5</v>
      </c>
      <c r="T643">
        <v>0.6</v>
      </c>
      <c r="V643">
        <v>46</v>
      </c>
      <c r="W643">
        <v>25</v>
      </c>
      <c r="X643" t="s">
        <v>32</v>
      </c>
    </row>
    <row r="644" spans="1:24">
      <c r="A644" t="str">
        <f>Hyperlink("https://www.diodes.com/part/view/DMN53D0LT","DMN53D0LT")</f>
        <v>DMN53D0LT</v>
      </c>
      <c r="B644" t="str">
        <f>Hyperlink("https://www.diodes.com/assets/Datasheets/DMN53D0LT.pdf","DMN53D0LT Datasheet")</f>
        <v>DMN53D0LT Datasheet</v>
      </c>
      <c r="C644" t="s">
        <v>24</v>
      </c>
      <c r="D644" t="s">
        <v>25</v>
      </c>
      <c r="E644" t="s">
        <v>26</v>
      </c>
      <c r="F644" t="s">
        <v>27</v>
      </c>
      <c r="G644" t="s">
        <v>25</v>
      </c>
      <c r="H644">
        <v>50</v>
      </c>
      <c r="I644">
        <v>20</v>
      </c>
      <c r="J644">
        <v>0.35</v>
      </c>
      <c r="L644">
        <v>0.3</v>
      </c>
      <c r="N644">
        <v>1600</v>
      </c>
      <c r="O644">
        <v>2500</v>
      </c>
      <c r="P644">
        <v>4500</v>
      </c>
      <c r="S644">
        <v>1.5</v>
      </c>
      <c r="T644">
        <v>0.6</v>
      </c>
      <c r="V644">
        <v>46</v>
      </c>
      <c r="X644" t="s">
        <v>41</v>
      </c>
    </row>
    <row r="645" spans="1:24">
      <c r="A645" t="str">
        <f>Hyperlink("https://www.diodes.com/part/view/DMN53D0LTQ","DMN53D0LTQ")</f>
        <v>DMN53D0LTQ</v>
      </c>
      <c r="B645" t="str">
        <f>Hyperlink("https://www.diodes.com/assets/Datasheets/DMN53D0LTQ.pdf","DMN53D0LTQ Datasheet")</f>
        <v>DMN53D0LTQ Datasheet</v>
      </c>
      <c r="C645" t="s">
        <v>40</v>
      </c>
      <c r="D645" t="s">
        <v>25</v>
      </c>
      <c r="E645" t="s">
        <v>33</v>
      </c>
      <c r="F645" t="s">
        <v>27</v>
      </c>
      <c r="G645" t="s">
        <v>25</v>
      </c>
      <c r="H645">
        <v>50</v>
      </c>
      <c r="I645">
        <v>20</v>
      </c>
      <c r="J645">
        <v>0.35</v>
      </c>
      <c r="L645">
        <v>0.3</v>
      </c>
      <c r="N645">
        <v>1600</v>
      </c>
      <c r="O645">
        <v>2500</v>
      </c>
      <c r="P645">
        <v>4500</v>
      </c>
      <c r="R645">
        <v>0.8</v>
      </c>
      <c r="S645">
        <v>1.5</v>
      </c>
      <c r="T645">
        <v>0.6</v>
      </c>
      <c r="U645">
        <v>1.4</v>
      </c>
      <c r="V645">
        <v>46</v>
      </c>
      <c r="W645">
        <v>25</v>
      </c>
      <c r="X645" t="s">
        <v>41</v>
      </c>
    </row>
    <row r="646" spans="1:24">
      <c r="A646" t="str">
        <f>Hyperlink("https://www.diodes.com/part/view/DMN53D0LV","DMN53D0LV")</f>
        <v>DMN53D0LV</v>
      </c>
      <c r="B646" t="str">
        <f>Hyperlink("https://www.diodes.com/assets/Datasheets/DMN53D0LV.pdf","DMN53D0LV Datasheet")</f>
        <v>DMN53D0LV Datasheet</v>
      </c>
      <c r="C646" t="s">
        <v>34</v>
      </c>
      <c r="D646" t="s">
        <v>25</v>
      </c>
      <c r="E646" t="s">
        <v>26</v>
      </c>
      <c r="F646" t="s">
        <v>35</v>
      </c>
      <c r="G646" t="s">
        <v>25</v>
      </c>
      <c r="H646">
        <v>50</v>
      </c>
      <c r="I646">
        <v>20</v>
      </c>
      <c r="J646">
        <v>0.35</v>
      </c>
      <c r="L646">
        <v>0.43</v>
      </c>
      <c r="N646">
        <v>1600</v>
      </c>
      <c r="O646">
        <v>2500</v>
      </c>
      <c r="P646">
        <v>4500</v>
      </c>
      <c r="S646">
        <v>1.5</v>
      </c>
      <c r="T646">
        <v>0.6</v>
      </c>
      <c r="V646">
        <v>46</v>
      </c>
      <c r="X646" t="s">
        <v>43</v>
      </c>
    </row>
    <row r="647" spans="1:24">
      <c r="A647" t="str">
        <f>Hyperlink("https://www.diodes.com/part/view/DMN53D0LW","DMN53D0LW")</f>
        <v>DMN53D0LW</v>
      </c>
      <c r="B647" t="str">
        <f>Hyperlink("https://www.diodes.com/assets/Datasheets/DMN53D0LW.pdf","DMN53D0LW Datasheet")</f>
        <v>DMN53D0LW Datasheet</v>
      </c>
      <c r="C647" t="s">
        <v>24</v>
      </c>
      <c r="D647" t="s">
        <v>25</v>
      </c>
      <c r="E647" t="s">
        <v>26</v>
      </c>
      <c r="F647" t="s">
        <v>27</v>
      </c>
      <c r="G647" t="s">
        <v>28</v>
      </c>
      <c r="H647">
        <v>50</v>
      </c>
      <c r="I647">
        <v>20</v>
      </c>
      <c r="J647">
        <v>0.36</v>
      </c>
      <c r="L647">
        <v>0.42</v>
      </c>
      <c r="N647">
        <v>2000</v>
      </c>
      <c r="O647" t="s">
        <v>719</v>
      </c>
      <c r="S647">
        <v>1.5</v>
      </c>
      <c r="T647">
        <v>0.6</v>
      </c>
      <c r="U647">
        <v>1.2</v>
      </c>
      <c r="V647">
        <v>45.8</v>
      </c>
      <c r="X647" t="s">
        <v>44</v>
      </c>
    </row>
    <row r="648" spans="1:24">
      <c r="A648" t="str">
        <f>Hyperlink("https://www.diodes.com/part/view/DMN53D0U","DMN53D0U")</f>
        <v>DMN53D0U</v>
      </c>
      <c r="B648" t="str">
        <f>Hyperlink("https://www.diodes.com/assets/Datasheets/DMN53D0U.pdf","DMN53D0U Datasheet")</f>
        <v>DMN53D0U Datasheet</v>
      </c>
      <c r="C648" t="s">
        <v>24</v>
      </c>
      <c r="D648" t="s">
        <v>25</v>
      </c>
      <c r="E648" t="s">
        <v>26</v>
      </c>
      <c r="F648" t="s">
        <v>27</v>
      </c>
      <c r="G648" t="s">
        <v>25</v>
      </c>
      <c r="H648">
        <v>50</v>
      </c>
      <c r="I648">
        <v>12</v>
      </c>
      <c r="J648">
        <v>0.3</v>
      </c>
      <c r="L648">
        <v>0.52</v>
      </c>
      <c r="O648" t="s">
        <v>720</v>
      </c>
      <c r="P648">
        <v>2500</v>
      </c>
      <c r="Q648">
        <v>3000</v>
      </c>
      <c r="S648">
        <v>1</v>
      </c>
      <c r="T648">
        <v>0.6</v>
      </c>
      <c r="V648">
        <v>37</v>
      </c>
      <c r="X648" t="s">
        <v>32</v>
      </c>
    </row>
    <row r="649" spans="1:24">
      <c r="A649" t="str">
        <f>Hyperlink("https://www.diodes.com/part/view/DMN6010SCTB","DMN6010SCTB")</f>
        <v>DMN6010SCTB</v>
      </c>
      <c r="B649" t="str">
        <f>Hyperlink("https://www.diodes.com/assets/Datasheets/DMN6010SCTB.pdf","DMN6010SCTB Datasheet")</f>
        <v>DMN6010SCTB Datasheet</v>
      </c>
      <c r="C649" t="s">
        <v>721</v>
      </c>
      <c r="D649" t="s">
        <v>25</v>
      </c>
      <c r="E649" t="s">
        <v>26</v>
      </c>
      <c r="F649" t="s">
        <v>27</v>
      </c>
      <c r="G649" t="s">
        <v>28</v>
      </c>
      <c r="H649">
        <v>60</v>
      </c>
      <c r="I649">
        <v>20</v>
      </c>
      <c r="K649">
        <v>128</v>
      </c>
      <c r="M649">
        <v>312</v>
      </c>
      <c r="N649">
        <v>10</v>
      </c>
      <c r="R649">
        <v>2</v>
      </c>
      <c r="S649">
        <v>4</v>
      </c>
      <c r="U649">
        <v>46</v>
      </c>
      <c r="V649">
        <v>2692</v>
      </c>
      <c r="W649">
        <v>25</v>
      </c>
      <c r="X649" t="s">
        <v>722</v>
      </c>
    </row>
    <row r="650" spans="1:24">
      <c r="A650" t="str">
        <f>Hyperlink("https://www.diodes.com/part/view/DMN6010SCTBQ","DMN6010SCTBQ")</f>
        <v>DMN6010SCTBQ</v>
      </c>
      <c r="B650" t="str">
        <f>Hyperlink("https://www.diodes.com/assets/Datasheets/DMN6010SCTBQ.pdf","DMN6010SCTBQ Datasheet")</f>
        <v>DMN6010SCTBQ Datasheet</v>
      </c>
      <c r="C650" t="s">
        <v>721</v>
      </c>
      <c r="D650" t="s">
        <v>25</v>
      </c>
      <c r="E650" t="s">
        <v>33</v>
      </c>
      <c r="F650" t="s">
        <v>27</v>
      </c>
      <c r="G650" t="s">
        <v>28</v>
      </c>
      <c r="H650">
        <v>60</v>
      </c>
      <c r="I650">
        <v>20</v>
      </c>
      <c r="K650">
        <v>128</v>
      </c>
      <c r="M650">
        <v>312</v>
      </c>
      <c r="N650">
        <v>10</v>
      </c>
      <c r="R650">
        <v>2</v>
      </c>
      <c r="S650">
        <v>4</v>
      </c>
      <c r="U650">
        <v>46</v>
      </c>
      <c r="V650">
        <v>2692</v>
      </c>
      <c r="W650">
        <v>25</v>
      </c>
      <c r="X650" t="s">
        <v>722</v>
      </c>
    </row>
    <row r="651" spans="1:24">
      <c r="A651" t="str">
        <f>Hyperlink("https://www.diodes.com/part/view/DMN6013LFG","DMN6013LFG")</f>
        <v>DMN6013LFG</v>
      </c>
      <c r="B651" t="str">
        <f>Hyperlink("https://www.diodes.com/assets/Datasheets/DMN6013LFG.pdf","DMN6013LFG Datasheet")</f>
        <v>DMN6013LFG Datasheet</v>
      </c>
      <c r="C651" t="s">
        <v>721</v>
      </c>
      <c r="D651" t="s">
        <v>25</v>
      </c>
      <c r="E651" t="s">
        <v>26</v>
      </c>
      <c r="F651" t="s">
        <v>27</v>
      </c>
      <c r="G651" t="s">
        <v>28</v>
      </c>
      <c r="H651">
        <v>60</v>
      </c>
      <c r="I651">
        <v>20</v>
      </c>
      <c r="J651">
        <v>10.3</v>
      </c>
      <c r="K651">
        <v>45</v>
      </c>
      <c r="L651">
        <v>2.1</v>
      </c>
      <c r="M651">
        <v>40</v>
      </c>
      <c r="N651">
        <v>13</v>
      </c>
      <c r="O651">
        <v>18</v>
      </c>
      <c r="S651">
        <v>3</v>
      </c>
      <c r="T651">
        <v>26.6</v>
      </c>
      <c r="U651">
        <v>55.4</v>
      </c>
      <c r="V651">
        <v>2577</v>
      </c>
      <c r="W651">
        <v>30</v>
      </c>
      <c r="X651" t="s">
        <v>529</v>
      </c>
    </row>
    <row r="652" spans="1:24">
      <c r="A652" t="str">
        <f>Hyperlink("https://www.diodes.com/part/view/DMN6013LFGQ","DMN6013LFGQ")</f>
        <v>DMN6013LFGQ</v>
      </c>
      <c r="B652" t="str">
        <f>Hyperlink("https://www.diodes.com/assets/Datasheets/DMN6013LFGQ.pdf","DMN6013LFGQ Datasheet")</f>
        <v>DMN6013LFGQ Datasheet</v>
      </c>
      <c r="C652" t="s">
        <v>721</v>
      </c>
      <c r="D652" t="s">
        <v>25</v>
      </c>
      <c r="E652" t="s">
        <v>33</v>
      </c>
      <c r="F652" t="s">
        <v>27</v>
      </c>
      <c r="G652" t="s">
        <v>28</v>
      </c>
      <c r="H652">
        <v>60</v>
      </c>
      <c r="I652">
        <v>20</v>
      </c>
      <c r="J652">
        <v>10.3</v>
      </c>
      <c r="K652">
        <v>45</v>
      </c>
      <c r="L652">
        <v>2.1</v>
      </c>
      <c r="M652">
        <v>40</v>
      </c>
      <c r="N652">
        <v>13</v>
      </c>
      <c r="O652">
        <v>18</v>
      </c>
      <c r="S652">
        <v>3</v>
      </c>
      <c r="T652">
        <v>26.6</v>
      </c>
      <c r="U652">
        <v>55.4</v>
      </c>
      <c r="V652">
        <v>2577</v>
      </c>
      <c r="W652">
        <v>30</v>
      </c>
      <c r="X652" t="s">
        <v>529</v>
      </c>
    </row>
    <row r="653" spans="1:24">
      <c r="A653" t="str">
        <f>Hyperlink("https://www.diodes.com/part/view/DMN6017SFV","DMN6017SFV")</f>
        <v>DMN6017SFV</v>
      </c>
      <c r="B653" t="str">
        <f>Hyperlink("https://www.diodes.com/assets/Datasheets/DMN6017SFV.pdf","DMN6017SFV Datasheet")</f>
        <v>DMN6017SFV Datasheet</v>
      </c>
      <c r="C653" t="s">
        <v>721</v>
      </c>
      <c r="D653" t="s">
        <v>28</v>
      </c>
      <c r="E653" t="s">
        <v>26</v>
      </c>
      <c r="F653" t="s">
        <v>27</v>
      </c>
      <c r="G653" t="s">
        <v>28</v>
      </c>
      <c r="H653">
        <v>60</v>
      </c>
      <c r="I653">
        <v>20</v>
      </c>
      <c r="K653">
        <v>35</v>
      </c>
      <c r="L653">
        <v>2</v>
      </c>
      <c r="N653">
        <v>18</v>
      </c>
      <c r="O653">
        <v>20</v>
      </c>
      <c r="S653">
        <v>3</v>
      </c>
      <c r="T653">
        <v>26</v>
      </c>
      <c r="U653">
        <v>55</v>
      </c>
      <c r="V653">
        <v>2711</v>
      </c>
      <c r="W653">
        <v>15</v>
      </c>
      <c r="X653" t="s">
        <v>570</v>
      </c>
    </row>
    <row r="654" spans="1:24">
      <c r="A654" t="str">
        <f>Hyperlink("https://www.diodes.com/part/view/DMN6017SK3","DMN6017SK3")</f>
        <v>DMN6017SK3</v>
      </c>
      <c r="B654" t="str">
        <f>Hyperlink("https://www.diodes.com/assets/Datasheets/DMN6017SK3.pdf","DMN6017SK3 Datasheet")</f>
        <v>DMN6017SK3 Datasheet</v>
      </c>
      <c r="C654" t="s">
        <v>24</v>
      </c>
      <c r="D654" t="s">
        <v>25</v>
      </c>
      <c r="E654" t="s">
        <v>26</v>
      </c>
      <c r="F654" t="s">
        <v>27</v>
      </c>
      <c r="G654" t="s">
        <v>28</v>
      </c>
      <c r="H654">
        <v>60</v>
      </c>
      <c r="I654">
        <v>20</v>
      </c>
      <c r="J654">
        <v>11</v>
      </c>
      <c r="K654">
        <v>43</v>
      </c>
      <c r="L654">
        <v>3.3</v>
      </c>
      <c r="M654">
        <v>50</v>
      </c>
      <c r="N654">
        <v>18</v>
      </c>
      <c r="O654">
        <v>20</v>
      </c>
      <c r="S654">
        <v>3</v>
      </c>
      <c r="T654">
        <v>26</v>
      </c>
      <c r="U654">
        <v>55</v>
      </c>
      <c r="V654">
        <v>2711</v>
      </c>
      <c r="W654">
        <v>15</v>
      </c>
      <c r="X654" t="s">
        <v>507</v>
      </c>
    </row>
    <row r="655" spans="1:24">
      <c r="A655" t="str">
        <f>Hyperlink("https://www.diodes.com/part/view/DMN601DMK","DMN601DMK")</f>
        <v>DMN601DMK</v>
      </c>
      <c r="B655" t="str">
        <f>Hyperlink("https://www.diodes.com/assets/Datasheets/ds30657.pdf","DMN601DMK Datasheet")</f>
        <v>DMN601DMK Datasheet</v>
      </c>
      <c r="C655" t="s">
        <v>34</v>
      </c>
      <c r="D655" t="s">
        <v>25</v>
      </c>
      <c r="E655" t="s">
        <v>26</v>
      </c>
      <c r="F655" t="s">
        <v>35</v>
      </c>
      <c r="G655" t="s">
        <v>25</v>
      </c>
      <c r="H655">
        <v>60</v>
      </c>
      <c r="I655">
        <v>20</v>
      </c>
      <c r="J655">
        <v>0.51</v>
      </c>
      <c r="L655">
        <v>0.98</v>
      </c>
      <c r="N655">
        <v>2400</v>
      </c>
      <c r="O655" t="s">
        <v>723</v>
      </c>
      <c r="S655">
        <v>2.5</v>
      </c>
      <c r="T655">
        <v>0.304</v>
      </c>
      <c r="V655" t="s">
        <v>39</v>
      </c>
      <c r="X655" t="s">
        <v>261</v>
      </c>
    </row>
    <row r="656" spans="1:24">
      <c r="A656" t="str">
        <f>Hyperlink("https://www.diodes.com/part/view/DMN601DWK","DMN601DWK")</f>
        <v>DMN601DWK</v>
      </c>
      <c r="B656" t="str">
        <f>Hyperlink("https://www.diodes.com/assets/Datasheets/DMN601DWK.pdf","DMN601DWK Datasheet")</f>
        <v>DMN601DWK Datasheet</v>
      </c>
      <c r="C656" t="s">
        <v>693</v>
      </c>
      <c r="D656" t="s">
        <v>25</v>
      </c>
      <c r="E656" t="s">
        <v>26</v>
      </c>
      <c r="F656" t="s">
        <v>35</v>
      </c>
      <c r="G656" t="s">
        <v>25</v>
      </c>
      <c r="H656">
        <v>60</v>
      </c>
      <c r="I656">
        <v>20</v>
      </c>
      <c r="J656">
        <v>0.305</v>
      </c>
      <c r="L656">
        <v>0.2</v>
      </c>
      <c r="N656">
        <v>2000</v>
      </c>
      <c r="O656" t="s">
        <v>719</v>
      </c>
      <c r="S656">
        <v>2.5</v>
      </c>
      <c r="T656">
        <v>0.304</v>
      </c>
      <c r="V656" t="s">
        <v>42</v>
      </c>
      <c r="X656" t="s">
        <v>66</v>
      </c>
    </row>
    <row r="657" spans="1:24">
      <c r="A657" t="str">
        <f>Hyperlink("https://www.diodes.com/part/view/DMN601DWKQ","DMN601DWKQ")</f>
        <v>DMN601DWKQ</v>
      </c>
      <c r="B657" t="str">
        <f>Hyperlink("https://www.diodes.com/assets/Datasheets/DMN601DWKQ.pdf","DMN601DWKQ Datasheet")</f>
        <v>DMN601DWKQ Datasheet</v>
      </c>
      <c r="C657" t="s">
        <v>693</v>
      </c>
      <c r="D657" t="s">
        <v>25</v>
      </c>
      <c r="E657" t="s">
        <v>33</v>
      </c>
      <c r="F657" t="s">
        <v>35</v>
      </c>
      <c r="G657" t="s">
        <v>25</v>
      </c>
      <c r="H657">
        <v>60</v>
      </c>
      <c r="I657">
        <v>20</v>
      </c>
      <c r="J657">
        <v>0.305</v>
      </c>
      <c r="L657">
        <v>0.2</v>
      </c>
      <c r="N657">
        <v>2000</v>
      </c>
      <c r="O657" t="s">
        <v>719</v>
      </c>
      <c r="S657">
        <v>2.5</v>
      </c>
      <c r="T657">
        <v>0.304</v>
      </c>
      <c r="V657">
        <v>30</v>
      </c>
      <c r="W657">
        <v>25</v>
      </c>
      <c r="X657" t="s">
        <v>37</v>
      </c>
    </row>
    <row r="658" spans="1:24">
      <c r="A658" t="str">
        <f>Hyperlink("https://www.diodes.com/part/view/DMN601K","DMN601K")</f>
        <v>DMN601K</v>
      </c>
      <c r="B658" t="str">
        <f>Hyperlink("https://www.diodes.com/assets/Datasheets/DMN601K.pdf","DMN601K Datasheet")</f>
        <v>DMN601K Datasheet</v>
      </c>
      <c r="C658" t="s">
        <v>24</v>
      </c>
      <c r="D658" t="s">
        <v>25</v>
      </c>
      <c r="E658" t="s">
        <v>26</v>
      </c>
      <c r="F658" t="s">
        <v>27</v>
      </c>
      <c r="G658" t="s">
        <v>25</v>
      </c>
      <c r="H658">
        <v>60</v>
      </c>
      <c r="I658">
        <v>20</v>
      </c>
      <c r="J658">
        <v>0.3</v>
      </c>
      <c r="L658">
        <v>0.35</v>
      </c>
      <c r="N658">
        <v>2000</v>
      </c>
      <c r="O658" t="s">
        <v>719</v>
      </c>
      <c r="S658">
        <v>2.5</v>
      </c>
      <c r="V658" t="s">
        <v>42</v>
      </c>
      <c r="X658" t="s">
        <v>30</v>
      </c>
    </row>
    <row r="659" spans="1:24">
      <c r="A659" t="str">
        <f>Hyperlink("https://www.diodes.com/part/view/DMN601LT","DMN601LT")</f>
        <v>DMN601LT</v>
      </c>
      <c r="B659" t="str">
        <f>Hyperlink("https://www.diodes.com/assets/Datasheets/DMN601LT.pdf","DMN601LT Datasheet")</f>
        <v>DMN601LT Datasheet</v>
      </c>
      <c r="C659" t="s">
        <v>721</v>
      </c>
      <c r="D659" t="s">
        <v>28</v>
      </c>
      <c r="E659" t="s">
        <v>26</v>
      </c>
      <c r="F659" t="s">
        <v>27</v>
      </c>
      <c r="G659" t="s">
        <v>25</v>
      </c>
      <c r="H659">
        <v>60</v>
      </c>
      <c r="I659">
        <v>20</v>
      </c>
      <c r="J659">
        <v>0.356</v>
      </c>
      <c r="L659">
        <v>0.5</v>
      </c>
      <c r="N659">
        <v>2000</v>
      </c>
      <c r="O659" t="s">
        <v>724</v>
      </c>
      <c r="R659">
        <v>1</v>
      </c>
      <c r="S659">
        <v>2.5</v>
      </c>
      <c r="T659">
        <v>0.7</v>
      </c>
      <c r="U659">
        <v>1.3</v>
      </c>
      <c r="V659">
        <v>47</v>
      </c>
      <c r="W659">
        <v>30</v>
      </c>
      <c r="X659" t="s">
        <v>41</v>
      </c>
    </row>
    <row r="660" spans="1:24">
      <c r="A660" t="str">
        <f>Hyperlink("https://www.diodes.com/part/view/DMN601LTQ","DMN601LTQ")</f>
        <v>DMN601LTQ</v>
      </c>
      <c r="B660" t="str">
        <f>Hyperlink("https://www.diodes.com/assets/Datasheets/DMN601LTQ.pdf","DMN601LTQ Datasheet")</f>
        <v>DMN601LTQ Datasheet</v>
      </c>
      <c r="C660" t="s">
        <v>725</v>
      </c>
      <c r="D660" t="s">
        <v>25</v>
      </c>
      <c r="E660" t="s">
        <v>33</v>
      </c>
      <c r="F660" t="s">
        <v>27</v>
      </c>
      <c r="G660" t="s">
        <v>25</v>
      </c>
      <c r="H660">
        <v>60</v>
      </c>
      <c r="I660">
        <v>20</v>
      </c>
      <c r="J660">
        <v>0.356</v>
      </c>
      <c r="L660">
        <v>0.5</v>
      </c>
      <c r="N660">
        <v>2000</v>
      </c>
      <c r="O660" t="s">
        <v>726</v>
      </c>
      <c r="R660">
        <v>1</v>
      </c>
      <c r="S660">
        <v>2.5</v>
      </c>
      <c r="T660">
        <v>0.7</v>
      </c>
      <c r="U660">
        <v>1.3</v>
      </c>
      <c r="V660">
        <v>47</v>
      </c>
      <c r="W660">
        <v>30</v>
      </c>
      <c r="X660" t="s">
        <v>41</v>
      </c>
    </row>
    <row r="661" spans="1:24">
      <c r="A661" t="str">
        <f>Hyperlink("https://www.diodes.com/part/view/DMN601TK","DMN601TK")</f>
        <v>DMN601TK</v>
      </c>
      <c r="B661" t="str">
        <f>Hyperlink("https://www.diodes.com/assets/Datasheets/DMN601TK.pdf","DMN601TK Datasheet")</f>
        <v>DMN601TK Datasheet</v>
      </c>
      <c r="C661" t="s">
        <v>24</v>
      </c>
      <c r="D661" t="s">
        <v>25</v>
      </c>
      <c r="E661" t="s">
        <v>26</v>
      </c>
      <c r="F661" t="s">
        <v>27</v>
      </c>
      <c r="G661" t="s">
        <v>25</v>
      </c>
      <c r="H661">
        <v>60</v>
      </c>
      <c r="I661">
        <v>20</v>
      </c>
      <c r="J661">
        <v>0.3</v>
      </c>
      <c r="L661">
        <v>0.15</v>
      </c>
      <c r="N661">
        <v>2000</v>
      </c>
      <c r="O661" t="s">
        <v>719</v>
      </c>
      <c r="S661">
        <v>2.5</v>
      </c>
      <c r="V661" t="s">
        <v>727</v>
      </c>
      <c r="X661" t="s">
        <v>41</v>
      </c>
    </row>
    <row r="662" spans="1:24">
      <c r="A662" t="str">
        <f>Hyperlink("https://www.diodes.com/part/view/DMN601TKQ","DMN601TKQ")</f>
        <v>DMN601TKQ</v>
      </c>
      <c r="B662" t="str">
        <f>Hyperlink("https://www.diodes.com/assets/Datasheets/DMN601TKQ.pdf","DMN601TKQ Datasheet")</f>
        <v>DMN601TKQ Datasheet</v>
      </c>
      <c r="C662" t="s">
        <v>725</v>
      </c>
      <c r="D662" t="s">
        <v>25</v>
      </c>
      <c r="E662" t="s">
        <v>33</v>
      </c>
      <c r="F662" t="s">
        <v>27</v>
      </c>
      <c r="G662" t="s">
        <v>25</v>
      </c>
      <c r="H662">
        <v>60</v>
      </c>
      <c r="I662">
        <v>20</v>
      </c>
      <c r="J662">
        <v>0.343</v>
      </c>
      <c r="L662">
        <v>0.5</v>
      </c>
      <c r="N662">
        <v>2000</v>
      </c>
      <c r="O662" t="s">
        <v>726</v>
      </c>
      <c r="R662">
        <v>1</v>
      </c>
      <c r="S662">
        <v>2.5</v>
      </c>
      <c r="T662">
        <v>0.51</v>
      </c>
      <c r="U662">
        <v>1.04</v>
      </c>
      <c r="V662">
        <v>41</v>
      </c>
      <c r="W662">
        <v>30</v>
      </c>
      <c r="X662" t="s">
        <v>41</v>
      </c>
    </row>
    <row r="663" spans="1:24">
      <c r="A663" t="str">
        <f>Hyperlink("https://www.diodes.com/part/view/DMN601VKQ","DMN601VKQ")</f>
        <v>DMN601VKQ</v>
      </c>
      <c r="B663" t="str">
        <f>Hyperlink("https://www.diodes.com/assets/Datasheets/DMN601VKQ.pdf","DMN601VKQ Datasheet")</f>
        <v>DMN601VKQ Datasheet</v>
      </c>
      <c r="C663" t="s">
        <v>693</v>
      </c>
      <c r="D663" t="s">
        <v>25</v>
      </c>
      <c r="E663" t="s">
        <v>33</v>
      </c>
      <c r="F663" t="s">
        <v>35</v>
      </c>
      <c r="G663" t="s">
        <v>25</v>
      </c>
      <c r="H663">
        <v>60</v>
      </c>
      <c r="I663">
        <v>20</v>
      </c>
      <c r="J663">
        <v>0.305</v>
      </c>
      <c r="L663">
        <v>0.25</v>
      </c>
      <c r="N663">
        <v>2000</v>
      </c>
      <c r="O663">
        <v>3000</v>
      </c>
      <c r="S663">
        <v>2.5</v>
      </c>
      <c r="W663">
        <v>25</v>
      </c>
      <c r="X663" t="s">
        <v>43</v>
      </c>
    </row>
    <row r="664" spans="1:24">
      <c r="A664" t="str">
        <f>Hyperlink("https://www.diodes.com/part/view/DMN601WK","DMN601WK")</f>
        <v>DMN601WK</v>
      </c>
      <c r="B664" t="str">
        <f>Hyperlink("https://www.diodes.com/assets/Datasheets/DMN601WK.pdf","DMN601WK Datasheet")</f>
        <v>DMN601WK Datasheet</v>
      </c>
      <c r="C664" t="s">
        <v>24</v>
      </c>
      <c r="D664" t="s">
        <v>25</v>
      </c>
      <c r="E664" t="s">
        <v>26</v>
      </c>
      <c r="F664" t="s">
        <v>27</v>
      </c>
      <c r="G664" t="s">
        <v>25</v>
      </c>
      <c r="H664">
        <v>60</v>
      </c>
      <c r="I664">
        <v>20</v>
      </c>
      <c r="J664">
        <v>0.3</v>
      </c>
      <c r="L664">
        <v>0.2</v>
      </c>
      <c r="N664">
        <v>2000</v>
      </c>
      <c r="O664">
        <v>3000</v>
      </c>
      <c r="S664">
        <v>2.5</v>
      </c>
      <c r="V664" t="s">
        <v>42</v>
      </c>
      <c r="X664" t="s">
        <v>60</v>
      </c>
    </row>
    <row r="665" spans="1:24">
      <c r="A665" t="str">
        <f>Hyperlink("https://www.diodes.com/part/view/DMN601WKQ","DMN601WKQ")</f>
        <v>DMN601WKQ</v>
      </c>
      <c r="B665" t="str">
        <f>Hyperlink("https://www.diodes.com/assets/Datasheets/DMN601WKQ.pdf","DMN601WKQ Datasheet")</f>
        <v>DMN601WKQ Datasheet</v>
      </c>
      <c r="C665" t="s">
        <v>721</v>
      </c>
      <c r="D665" t="s">
        <v>25</v>
      </c>
      <c r="E665" t="s">
        <v>33</v>
      </c>
      <c r="F665" t="s">
        <v>27</v>
      </c>
      <c r="G665" t="s">
        <v>25</v>
      </c>
      <c r="H665">
        <v>60</v>
      </c>
      <c r="I665">
        <v>20</v>
      </c>
      <c r="J665">
        <v>0.3</v>
      </c>
      <c r="L665">
        <v>0.2</v>
      </c>
      <c r="N665">
        <v>2000</v>
      </c>
      <c r="O665">
        <v>3000</v>
      </c>
      <c r="S665">
        <v>2.5</v>
      </c>
      <c r="W665">
        <v>25</v>
      </c>
      <c r="X665" t="s">
        <v>60</v>
      </c>
    </row>
    <row r="666" spans="1:24">
      <c r="A666" t="str">
        <f>Hyperlink("https://www.diodes.com/part/view/DMN6022SSD","DMN6022SSD")</f>
        <v>DMN6022SSD</v>
      </c>
      <c r="B666" t="str">
        <f>Hyperlink("https://www.diodes.com/assets/Datasheets/DMN6022SSD.pdf","DMN6022SSD Datasheet")</f>
        <v>DMN6022SSD Datasheet</v>
      </c>
      <c r="C666" t="s">
        <v>34</v>
      </c>
      <c r="D666" t="s">
        <v>25</v>
      </c>
      <c r="E666" t="s">
        <v>26</v>
      </c>
      <c r="F666" t="s">
        <v>35</v>
      </c>
      <c r="G666" t="s">
        <v>28</v>
      </c>
      <c r="H666">
        <v>60</v>
      </c>
      <c r="I666">
        <v>20</v>
      </c>
      <c r="J666">
        <v>6</v>
      </c>
      <c r="K666">
        <v>14</v>
      </c>
      <c r="L666">
        <v>1.5</v>
      </c>
      <c r="N666">
        <v>29</v>
      </c>
      <c r="S666">
        <v>3</v>
      </c>
      <c r="T666">
        <v>14</v>
      </c>
      <c r="U666">
        <v>32</v>
      </c>
      <c r="V666">
        <v>2110</v>
      </c>
      <c r="W666">
        <v>30</v>
      </c>
      <c r="X666" t="s">
        <v>155</v>
      </c>
    </row>
    <row r="667" spans="1:24">
      <c r="A667" t="str">
        <f>Hyperlink("https://www.diodes.com/part/view/DMN6022SSS","DMN6022SSS")</f>
        <v>DMN6022SSS</v>
      </c>
      <c r="B667" t="str">
        <f>Hyperlink("https://www.diodes.com/assets/Datasheets/DMN6022SSS.pdf","DMN6022SSS Datasheet")</f>
        <v>DMN6022SSS Datasheet</v>
      </c>
      <c r="C667" t="s">
        <v>24</v>
      </c>
      <c r="D667" t="s">
        <v>28</v>
      </c>
      <c r="E667" t="s">
        <v>26</v>
      </c>
      <c r="F667" t="s">
        <v>27</v>
      </c>
      <c r="G667" t="s">
        <v>28</v>
      </c>
      <c r="H667">
        <v>60</v>
      </c>
      <c r="I667">
        <v>20</v>
      </c>
      <c r="J667">
        <v>6.9</v>
      </c>
      <c r="L667">
        <v>2.1</v>
      </c>
      <c r="N667">
        <v>29</v>
      </c>
      <c r="S667">
        <v>3</v>
      </c>
      <c r="T667">
        <v>14</v>
      </c>
      <c r="U667">
        <v>32</v>
      </c>
      <c r="V667">
        <v>2110</v>
      </c>
      <c r="W667">
        <v>30</v>
      </c>
      <c r="X667" t="s">
        <v>155</v>
      </c>
    </row>
    <row r="668" spans="1:24">
      <c r="A668" t="str">
        <f>Hyperlink("https://www.diodes.com/part/view/DMN6040SE","DMN6040SE")</f>
        <v>DMN6040SE</v>
      </c>
      <c r="B668" t="str">
        <f>Hyperlink("https://www.diodes.com/assets/Datasheets/DMN6040SE.pdf","DMN6040SE Datasheet")</f>
        <v>DMN6040SE Datasheet</v>
      </c>
      <c r="C668" t="s">
        <v>721</v>
      </c>
      <c r="D668" t="s">
        <v>25</v>
      </c>
      <c r="E668" t="s">
        <v>26</v>
      </c>
      <c r="F668" t="s">
        <v>27</v>
      </c>
      <c r="G668" t="s">
        <v>28</v>
      </c>
      <c r="H668">
        <v>60</v>
      </c>
      <c r="I668">
        <v>20</v>
      </c>
      <c r="J668">
        <v>5</v>
      </c>
      <c r="L668">
        <v>2</v>
      </c>
      <c r="N668">
        <v>40</v>
      </c>
      <c r="O668">
        <v>55</v>
      </c>
      <c r="S668">
        <v>3</v>
      </c>
      <c r="T668">
        <v>10.4</v>
      </c>
      <c r="U668">
        <v>22.4</v>
      </c>
      <c r="V668">
        <v>1287</v>
      </c>
      <c r="W668">
        <v>25</v>
      </c>
      <c r="X668" t="s">
        <v>586</v>
      </c>
    </row>
    <row r="669" spans="1:24">
      <c r="A669" t="str">
        <f>Hyperlink("https://www.diodes.com/part/view/DMN6040SFDE","DMN6040SFDE")</f>
        <v>DMN6040SFDE</v>
      </c>
      <c r="B669" t="str">
        <f>Hyperlink("https://www.diodes.com/assets/Datasheets/DMN6040SFDE.pdf","DMN6040SFDE Datasheet")</f>
        <v>DMN6040SFDE Datasheet</v>
      </c>
      <c r="C669" t="s">
        <v>24</v>
      </c>
      <c r="D669" t="s">
        <v>25</v>
      </c>
      <c r="E669" t="s">
        <v>26</v>
      </c>
      <c r="F669" t="s">
        <v>27</v>
      </c>
      <c r="G669" t="s">
        <v>28</v>
      </c>
      <c r="H669">
        <v>60</v>
      </c>
      <c r="I669">
        <v>20</v>
      </c>
      <c r="J669">
        <v>5.3</v>
      </c>
      <c r="L669">
        <v>2.03</v>
      </c>
      <c r="N669">
        <v>38</v>
      </c>
      <c r="O669">
        <v>47</v>
      </c>
      <c r="S669">
        <v>3</v>
      </c>
      <c r="T669">
        <v>10.4</v>
      </c>
      <c r="U669">
        <v>22.4</v>
      </c>
      <c r="V669" t="s">
        <v>728</v>
      </c>
      <c r="X669" t="s">
        <v>567</v>
      </c>
    </row>
    <row r="670" spans="1:24">
      <c r="A670" t="str">
        <f>Hyperlink("https://www.diodes.com/part/view/DMN6040SFDEQ","DMN6040SFDEQ")</f>
        <v>DMN6040SFDEQ</v>
      </c>
      <c r="B670" t="str">
        <f>Hyperlink("https://www.diodes.com/assets/Datasheets/DMN6040SFDEQ.pdf","DMN6040SFDEQ Datasheet")</f>
        <v>DMN6040SFDEQ Datasheet</v>
      </c>
      <c r="C670" t="s">
        <v>721</v>
      </c>
      <c r="D670" t="s">
        <v>25</v>
      </c>
      <c r="E670" t="s">
        <v>33</v>
      </c>
      <c r="F670" t="s">
        <v>27</v>
      </c>
      <c r="G670" t="s">
        <v>28</v>
      </c>
      <c r="H670">
        <v>60</v>
      </c>
      <c r="I670">
        <v>20</v>
      </c>
      <c r="J670">
        <v>5.3</v>
      </c>
      <c r="L670">
        <v>2.03</v>
      </c>
      <c r="N670">
        <v>38</v>
      </c>
      <c r="O670">
        <v>47</v>
      </c>
      <c r="S670">
        <v>3</v>
      </c>
      <c r="T670">
        <v>10.4</v>
      </c>
      <c r="U670">
        <v>22.4</v>
      </c>
      <c r="V670">
        <v>1287</v>
      </c>
      <c r="W670">
        <v>25</v>
      </c>
      <c r="X670" t="s">
        <v>567</v>
      </c>
    </row>
    <row r="671" spans="1:24">
      <c r="A671" t="str">
        <f>Hyperlink("https://www.diodes.com/part/view/DMN6040SK3","DMN6040SK3")</f>
        <v>DMN6040SK3</v>
      </c>
      <c r="B671" t="str">
        <f>Hyperlink("https://www.diodes.com/assets/Datasheets/DMN6040SK3.pdf","DMN6040SK3 Datasheet")</f>
        <v>DMN6040SK3 Datasheet</v>
      </c>
      <c r="C671" t="s">
        <v>24</v>
      </c>
      <c r="D671" t="s">
        <v>25</v>
      </c>
      <c r="E671" t="s">
        <v>26</v>
      </c>
      <c r="F671" t="s">
        <v>27</v>
      </c>
      <c r="G671" t="s">
        <v>28</v>
      </c>
      <c r="H671">
        <v>60</v>
      </c>
      <c r="I671">
        <v>20</v>
      </c>
      <c r="J671">
        <v>6.3</v>
      </c>
      <c r="K671">
        <v>20</v>
      </c>
      <c r="L671">
        <v>2.84</v>
      </c>
      <c r="N671">
        <v>40</v>
      </c>
      <c r="O671">
        <v>50</v>
      </c>
      <c r="S671">
        <v>3</v>
      </c>
      <c r="T671">
        <v>10.4</v>
      </c>
      <c r="U671">
        <v>22.4</v>
      </c>
      <c r="V671" t="s">
        <v>728</v>
      </c>
      <c r="X671" t="s">
        <v>507</v>
      </c>
    </row>
    <row r="672" spans="1:24">
      <c r="A672" t="str">
        <f>Hyperlink("https://www.diodes.com/part/view/DMN6040SK3Q","DMN6040SK3Q")</f>
        <v>DMN6040SK3Q</v>
      </c>
      <c r="B672" t="str">
        <f>Hyperlink("https://www.diodes.com/assets/Datasheets/DMN6040SK3Q.pdf","DMN6040SK3Q Datasheet")</f>
        <v>DMN6040SK3Q Datasheet</v>
      </c>
      <c r="C672" t="s">
        <v>24</v>
      </c>
      <c r="D672" t="s">
        <v>25</v>
      </c>
      <c r="E672" t="s">
        <v>33</v>
      </c>
      <c r="F672" t="s">
        <v>27</v>
      </c>
      <c r="G672" t="s">
        <v>28</v>
      </c>
      <c r="H672">
        <v>60</v>
      </c>
      <c r="I672">
        <v>20</v>
      </c>
      <c r="K672">
        <v>20</v>
      </c>
      <c r="L672">
        <v>2.84</v>
      </c>
      <c r="M672">
        <v>42</v>
      </c>
      <c r="N672">
        <v>40</v>
      </c>
      <c r="O672">
        <v>50</v>
      </c>
      <c r="S672">
        <v>3</v>
      </c>
      <c r="T672">
        <v>10.4</v>
      </c>
      <c r="U672">
        <v>22.4</v>
      </c>
      <c r="V672">
        <v>1287</v>
      </c>
      <c r="W672">
        <v>25</v>
      </c>
      <c r="X672" t="s">
        <v>507</v>
      </c>
    </row>
    <row r="673" spans="1:24">
      <c r="A673" t="str">
        <f>Hyperlink("https://www.diodes.com/part/view/DMN6040SSD","DMN6040SSD")</f>
        <v>DMN6040SSD</v>
      </c>
      <c r="B673" t="str">
        <f>Hyperlink("https://www.diodes.com/assets/Datasheets/DMN6040SSD.pdf","DMN6040SSD Datasheet")</f>
        <v>DMN6040SSD Datasheet</v>
      </c>
      <c r="C673" t="s">
        <v>38</v>
      </c>
      <c r="D673" t="s">
        <v>25</v>
      </c>
      <c r="E673" t="s">
        <v>26</v>
      </c>
      <c r="F673" t="s">
        <v>35</v>
      </c>
      <c r="G673" t="s">
        <v>28</v>
      </c>
      <c r="H673">
        <v>60</v>
      </c>
      <c r="I673">
        <v>20</v>
      </c>
      <c r="J673">
        <v>5</v>
      </c>
      <c r="L673">
        <v>1.7</v>
      </c>
      <c r="N673">
        <v>40</v>
      </c>
      <c r="O673">
        <v>55</v>
      </c>
      <c r="S673">
        <v>3</v>
      </c>
      <c r="T673">
        <v>10.4</v>
      </c>
      <c r="U673">
        <v>22.4</v>
      </c>
      <c r="V673" t="s">
        <v>728</v>
      </c>
      <c r="X673" t="s">
        <v>155</v>
      </c>
    </row>
    <row r="674" spans="1:24">
      <c r="A674" t="str">
        <f>Hyperlink("https://www.diodes.com/part/view/DMN6040SSDQ","DMN6040SSDQ")</f>
        <v>DMN6040SSDQ</v>
      </c>
      <c r="B674" t="str">
        <f>Hyperlink("https://www.diodes.com/assets/Datasheets/DMN6040SSDQ.pdf","DMN6040SSDQ Datasheet")</f>
        <v>DMN6040SSDQ Datasheet</v>
      </c>
      <c r="C674" t="s">
        <v>34</v>
      </c>
      <c r="D674" t="s">
        <v>25</v>
      </c>
      <c r="E674" t="s">
        <v>33</v>
      </c>
      <c r="F674" t="s">
        <v>35</v>
      </c>
      <c r="G674" t="s">
        <v>28</v>
      </c>
      <c r="H674">
        <v>60</v>
      </c>
      <c r="I674">
        <v>20</v>
      </c>
      <c r="J674">
        <v>5</v>
      </c>
      <c r="L674">
        <v>1.7</v>
      </c>
      <c r="N674">
        <v>40</v>
      </c>
      <c r="O674">
        <v>55</v>
      </c>
      <c r="S674">
        <v>3</v>
      </c>
      <c r="T674">
        <v>10.4</v>
      </c>
      <c r="U674">
        <v>22.4</v>
      </c>
      <c r="V674">
        <v>1287</v>
      </c>
      <c r="W674">
        <v>25</v>
      </c>
      <c r="X674" t="s">
        <v>155</v>
      </c>
    </row>
    <row r="675" spans="1:24">
      <c r="A675" t="str">
        <f>Hyperlink("https://www.diodes.com/part/view/DMN6040SSS","DMN6040SSS")</f>
        <v>DMN6040SSS</v>
      </c>
      <c r="B675" t="str">
        <f>Hyperlink("https://www.diodes.com/assets/Datasheets/DMN6040SSS.pdf","DMN6040SSS Datasheet")</f>
        <v>DMN6040SSS Datasheet</v>
      </c>
      <c r="C675" t="s">
        <v>24</v>
      </c>
      <c r="D675" t="s">
        <v>25</v>
      </c>
      <c r="E675" t="s">
        <v>26</v>
      </c>
      <c r="F675" t="s">
        <v>27</v>
      </c>
      <c r="G675" t="s">
        <v>28</v>
      </c>
      <c r="H675">
        <v>60</v>
      </c>
      <c r="I675">
        <v>20</v>
      </c>
      <c r="J675">
        <v>5.5</v>
      </c>
      <c r="L675">
        <v>2</v>
      </c>
      <c r="N675">
        <v>40</v>
      </c>
      <c r="O675">
        <v>55</v>
      </c>
      <c r="S675">
        <v>3</v>
      </c>
      <c r="T675">
        <v>10.4</v>
      </c>
      <c r="U675">
        <v>22.4</v>
      </c>
      <c r="V675" t="s">
        <v>728</v>
      </c>
      <c r="X675" t="s">
        <v>155</v>
      </c>
    </row>
    <row r="676" spans="1:24">
      <c r="A676" t="str">
        <f>Hyperlink("https://www.diodes.com/part/view/DMN6040SSSQ","DMN6040SSSQ")</f>
        <v>DMN6040SSSQ</v>
      </c>
      <c r="B676" t="str">
        <f>Hyperlink("https://www.diodes.com/assets/Datasheets/DMN6040SSSQ.pdf","DMN6040SSSQ Datasheet")</f>
        <v>DMN6040SSSQ Datasheet</v>
      </c>
      <c r="C676" t="s">
        <v>605</v>
      </c>
      <c r="D676" t="s">
        <v>25</v>
      </c>
      <c r="E676" t="s">
        <v>33</v>
      </c>
      <c r="F676" t="s">
        <v>27</v>
      </c>
      <c r="G676" t="s">
        <v>28</v>
      </c>
      <c r="H676">
        <v>60</v>
      </c>
      <c r="I676">
        <v>20</v>
      </c>
      <c r="J676">
        <v>5.5</v>
      </c>
      <c r="L676">
        <v>2</v>
      </c>
      <c r="N676">
        <v>40</v>
      </c>
      <c r="O676">
        <v>55</v>
      </c>
      <c r="R676">
        <v>1</v>
      </c>
      <c r="S676">
        <v>3</v>
      </c>
      <c r="T676">
        <v>10.4</v>
      </c>
      <c r="U676">
        <v>22.4</v>
      </c>
      <c r="V676">
        <v>1287</v>
      </c>
      <c r="W676">
        <v>25</v>
      </c>
      <c r="X676" t="s">
        <v>155</v>
      </c>
    </row>
    <row r="677" spans="1:24">
      <c r="A677" t="str">
        <f>Hyperlink("https://www.diodes.com/part/view/DMN6040SVT","DMN6040SVT")</f>
        <v>DMN6040SVT</v>
      </c>
      <c r="B677" t="str">
        <f>Hyperlink("https://www.diodes.com/assets/Datasheets/DMN6040SVT.pdf","DMN6040SVT Datasheet")</f>
        <v>DMN6040SVT Datasheet</v>
      </c>
      <c r="C677" t="s">
        <v>24</v>
      </c>
      <c r="D677" t="s">
        <v>25</v>
      </c>
      <c r="E677" t="s">
        <v>26</v>
      </c>
      <c r="F677" t="s">
        <v>27</v>
      </c>
      <c r="G677" t="s">
        <v>28</v>
      </c>
      <c r="H677">
        <v>60</v>
      </c>
      <c r="I677">
        <v>20</v>
      </c>
      <c r="J677">
        <v>5</v>
      </c>
      <c r="L677">
        <v>1.8</v>
      </c>
      <c r="N677">
        <v>44</v>
      </c>
      <c r="O677">
        <v>60</v>
      </c>
      <c r="S677">
        <v>3</v>
      </c>
      <c r="T677">
        <v>10.4</v>
      </c>
      <c r="U677">
        <v>22.4</v>
      </c>
      <c r="V677" t="s">
        <v>728</v>
      </c>
      <c r="X677" t="s">
        <v>128</v>
      </c>
    </row>
    <row r="678" spans="1:24">
      <c r="A678" t="str">
        <f>Hyperlink("https://www.diodes.com/part/view/DMN6040SVTQ","DMN6040SVTQ")</f>
        <v>DMN6040SVTQ</v>
      </c>
      <c r="B678" t="str">
        <f>Hyperlink("https://www.diodes.com/assets/Datasheets/DMN6040SVTQ.pdf","DMN6040SVTQ Datasheet")</f>
        <v>DMN6040SVTQ Datasheet</v>
      </c>
      <c r="C678" t="s">
        <v>24</v>
      </c>
      <c r="D678" t="s">
        <v>25</v>
      </c>
      <c r="E678" t="s">
        <v>33</v>
      </c>
      <c r="F678" t="s">
        <v>27</v>
      </c>
      <c r="G678" t="s">
        <v>28</v>
      </c>
      <c r="H678">
        <v>60</v>
      </c>
      <c r="I678">
        <v>20</v>
      </c>
      <c r="J678">
        <v>5</v>
      </c>
      <c r="L678">
        <v>1.8</v>
      </c>
      <c r="N678">
        <v>44</v>
      </c>
      <c r="O678">
        <v>60</v>
      </c>
      <c r="S678">
        <v>3</v>
      </c>
      <c r="T678">
        <v>10.4</v>
      </c>
      <c r="U678">
        <v>22.4</v>
      </c>
      <c r="V678">
        <v>1287</v>
      </c>
      <c r="W678">
        <v>25</v>
      </c>
      <c r="X678" t="s">
        <v>128</v>
      </c>
    </row>
    <row r="679" spans="1:24">
      <c r="A679" t="str">
        <f>Hyperlink("https://www.diodes.com/part/view/DMN6041SVT","DMN6041SVT")</f>
        <v>DMN6041SVT</v>
      </c>
      <c r="B679" t="str">
        <f>Hyperlink("https://www.diodes.com/assets/Datasheets/DMN6041SVT.pdf","DMN6041SVT Datasheet")</f>
        <v>DMN6041SVT Datasheet</v>
      </c>
      <c r="C679" t="s">
        <v>725</v>
      </c>
      <c r="D679" t="s">
        <v>28</v>
      </c>
      <c r="E679" t="s">
        <v>26</v>
      </c>
      <c r="F679" t="s">
        <v>27</v>
      </c>
      <c r="G679" t="s">
        <v>28</v>
      </c>
      <c r="H679">
        <v>60</v>
      </c>
      <c r="I679">
        <v>20</v>
      </c>
      <c r="J679">
        <v>4.1</v>
      </c>
      <c r="L679">
        <v>1.7</v>
      </c>
      <c r="N679">
        <v>48</v>
      </c>
      <c r="O679">
        <v>60</v>
      </c>
      <c r="R679">
        <v>1</v>
      </c>
      <c r="S679">
        <v>3</v>
      </c>
      <c r="T679">
        <v>10</v>
      </c>
      <c r="U679">
        <v>21</v>
      </c>
      <c r="V679">
        <v>1190</v>
      </c>
      <c r="W679">
        <v>30</v>
      </c>
      <c r="X679" t="s">
        <v>128</v>
      </c>
    </row>
    <row r="680" spans="1:24">
      <c r="A680" t="str">
        <f>Hyperlink("https://www.diodes.com/part/view/DMN6041SVTQ","DMN6041SVTQ")</f>
        <v>DMN6041SVTQ</v>
      </c>
      <c r="B680" t="str">
        <f>Hyperlink("https://www.diodes.com/assets/Datasheets/DMN6041SVTQ.pdf","DMN6041SVTQ Datasheet")</f>
        <v>DMN6041SVTQ Datasheet</v>
      </c>
      <c r="C680" t="s">
        <v>725</v>
      </c>
      <c r="D680" t="s">
        <v>25</v>
      </c>
      <c r="E680" t="s">
        <v>33</v>
      </c>
      <c r="F680" t="s">
        <v>27</v>
      </c>
      <c r="G680" t="s">
        <v>28</v>
      </c>
      <c r="H680">
        <v>60</v>
      </c>
      <c r="I680">
        <v>20</v>
      </c>
      <c r="J680">
        <v>4.1</v>
      </c>
      <c r="L680">
        <v>1.7</v>
      </c>
      <c r="N680">
        <v>48</v>
      </c>
      <c r="O680">
        <v>60</v>
      </c>
      <c r="R680">
        <v>1</v>
      </c>
      <c r="S680">
        <v>3</v>
      </c>
      <c r="T680">
        <v>10</v>
      </c>
      <c r="U680">
        <v>21</v>
      </c>
      <c r="V680">
        <v>1190</v>
      </c>
      <c r="W680">
        <v>30</v>
      </c>
      <c r="X680" t="s">
        <v>128</v>
      </c>
    </row>
    <row r="681" spans="1:24">
      <c r="A681" t="str">
        <f>Hyperlink("https://www.diodes.com/part/view/DMN6066SSD","DMN6066SSD")</f>
        <v>DMN6066SSD</v>
      </c>
      <c r="B681" t="str">
        <f>Hyperlink("https://www.diodes.com/assets/Datasheets/DMN6066SSD.pdf","DMN6066SSD Datasheet")</f>
        <v>DMN6066SSD Datasheet</v>
      </c>
      <c r="C681" t="s">
        <v>34</v>
      </c>
      <c r="D681" t="s">
        <v>25</v>
      </c>
      <c r="E681" t="s">
        <v>26</v>
      </c>
      <c r="F681" t="s">
        <v>35</v>
      </c>
      <c r="G681" t="s">
        <v>28</v>
      </c>
      <c r="H681">
        <v>60</v>
      </c>
      <c r="I681">
        <v>20</v>
      </c>
      <c r="J681">
        <v>3.3</v>
      </c>
      <c r="L681">
        <v>1.8</v>
      </c>
      <c r="N681">
        <v>66</v>
      </c>
      <c r="O681">
        <v>97</v>
      </c>
      <c r="S681">
        <v>3</v>
      </c>
      <c r="T681">
        <v>5.4</v>
      </c>
      <c r="U681">
        <v>10.3</v>
      </c>
      <c r="V681">
        <v>502</v>
      </c>
      <c r="X681" t="s">
        <v>155</v>
      </c>
    </row>
    <row r="682" spans="1:24">
      <c r="A682" t="str">
        <f>Hyperlink("https://www.diodes.com/part/view/DMN6066SSS","DMN6066SSS")</f>
        <v>DMN6066SSS</v>
      </c>
      <c r="B682" t="str">
        <f>Hyperlink("https://www.diodes.com/assets/Datasheets/DMN6066SSS.pdf","DMN6066SSS Datasheet")</f>
        <v>DMN6066SSS Datasheet</v>
      </c>
      <c r="C682" t="s">
        <v>721</v>
      </c>
      <c r="D682" t="s">
        <v>25</v>
      </c>
      <c r="E682" t="s">
        <v>26</v>
      </c>
      <c r="F682" t="s">
        <v>27</v>
      </c>
      <c r="G682" t="s">
        <v>28</v>
      </c>
      <c r="H682">
        <v>60</v>
      </c>
      <c r="I682">
        <v>20</v>
      </c>
      <c r="J682">
        <v>3.7</v>
      </c>
      <c r="L682">
        <v>1.56</v>
      </c>
      <c r="N682">
        <v>66</v>
      </c>
      <c r="O682">
        <v>97</v>
      </c>
      <c r="S682">
        <v>3</v>
      </c>
      <c r="T682">
        <v>5.4</v>
      </c>
      <c r="U682">
        <v>10.3</v>
      </c>
      <c r="V682">
        <v>502</v>
      </c>
      <c r="X682" t="s">
        <v>155</v>
      </c>
    </row>
    <row r="683" spans="1:24">
      <c r="A683" t="str">
        <f>Hyperlink("https://www.diodes.com/part/view/DMN6068LK3","DMN6068LK3")</f>
        <v>DMN6068LK3</v>
      </c>
      <c r="B683" t="str">
        <f>Hyperlink("https://www.diodes.com/assets/Datasheets/DMN6068LK3.pdf","DMN6068LK3 Datasheet")</f>
        <v>DMN6068LK3 Datasheet</v>
      </c>
      <c r="C683" t="s">
        <v>721</v>
      </c>
      <c r="D683" t="s">
        <v>25</v>
      </c>
      <c r="E683" t="s">
        <v>26</v>
      </c>
      <c r="F683" t="s">
        <v>27</v>
      </c>
      <c r="G683" t="s">
        <v>28</v>
      </c>
      <c r="H683">
        <v>60</v>
      </c>
      <c r="I683">
        <v>20</v>
      </c>
      <c r="J683">
        <v>6</v>
      </c>
      <c r="L683">
        <v>4.12</v>
      </c>
      <c r="N683">
        <v>68</v>
      </c>
      <c r="O683">
        <v>100</v>
      </c>
      <c r="S683">
        <v>3</v>
      </c>
      <c r="T683">
        <v>5.55</v>
      </c>
      <c r="U683">
        <v>10.3</v>
      </c>
      <c r="V683">
        <v>502</v>
      </c>
      <c r="X683" t="s">
        <v>507</v>
      </c>
    </row>
    <row r="684" spans="1:24">
      <c r="A684" t="str">
        <f>Hyperlink("https://www.diodes.com/part/view/DMN6068LK3Q","DMN6068LK3Q")</f>
        <v>DMN6068LK3Q</v>
      </c>
      <c r="B684" t="str">
        <f>Hyperlink("https://www.diodes.com/assets/Datasheets/DMN6068LK3Q.pdf","DMN6068LK3Q Datasheet")</f>
        <v>DMN6068LK3Q Datasheet</v>
      </c>
      <c r="C684" t="s">
        <v>721</v>
      </c>
      <c r="D684" t="s">
        <v>25</v>
      </c>
      <c r="E684" t="s">
        <v>33</v>
      </c>
      <c r="F684" t="s">
        <v>27</v>
      </c>
      <c r="G684" t="s">
        <v>28</v>
      </c>
      <c r="H684">
        <v>60</v>
      </c>
      <c r="I684">
        <v>20</v>
      </c>
      <c r="J684">
        <v>6</v>
      </c>
      <c r="L684">
        <v>4.12</v>
      </c>
      <c r="N684">
        <v>68</v>
      </c>
      <c r="O684">
        <v>100</v>
      </c>
      <c r="S684">
        <v>3</v>
      </c>
      <c r="T684">
        <v>5.55</v>
      </c>
      <c r="U684">
        <v>10.3</v>
      </c>
      <c r="V684">
        <v>502</v>
      </c>
      <c r="W684">
        <v>30</v>
      </c>
      <c r="X684" t="s">
        <v>507</v>
      </c>
    </row>
    <row r="685" spans="1:24">
      <c r="A685" t="str">
        <f>Hyperlink("https://www.diodes.com/part/view/DMN6068SE","DMN6068SE")</f>
        <v>DMN6068SE</v>
      </c>
      <c r="B685" t="str">
        <f>Hyperlink("https://www.diodes.com/assets/Datasheets/DMN6068SE.pdf","DMN6068SE Datasheet")</f>
        <v>DMN6068SE Datasheet</v>
      </c>
      <c r="C685" t="s">
        <v>24</v>
      </c>
      <c r="D685" t="s">
        <v>28</v>
      </c>
      <c r="E685" t="s">
        <v>26</v>
      </c>
      <c r="F685" t="s">
        <v>27</v>
      </c>
      <c r="G685" t="s">
        <v>28</v>
      </c>
      <c r="H685">
        <v>60</v>
      </c>
      <c r="I685">
        <v>20</v>
      </c>
      <c r="J685">
        <v>4.1</v>
      </c>
      <c r="L685">
        <v>2</v>
      </c>
      <c r="N685">
        <v>68</v>
      </c>
      <c r="O685">
        <v>100</v>
      </c>
      <c r="S685">
        <v>3</v>
      </c>
      <c r="T685">
        <v>5.55</v>
      </c>
      <c r="U685">
        <v>10.3</v>
      </c>
      <c r="V685">
        <v>502</v>
      </c>
      <c r="X685" t="s">
        <v>586</v>
      </c>
    </row>
    <row r="686" spans="1:24">
      <c r="A686" t="str">
        <f>Hyperlink("https://www.diodes.com/part/view/DMN6068SEQ","DMN6068SEQ")</f>
        <v>DMN6068SEQ</v>
      </c>
      <c r="B686" t="str">
        <f>Hyperlink("https://www.diodes.com/assets/Datasheets/DMN6068SEQ.pdf","DMN6068SEQ Datasheet")</f>
        <v>DMN6068SEQ Datasheet</v>
      </c>
      <c r="C686" t="s">
        <v>24</v>
      </c>
      <c r="D686" t="s">
        <v>25</v>
      </c>
      <c r="E686" t="s">
        <v>33</v>
      </c>
      <c r="F686" t="s">
        <v>27</v>
      </c>
      <c r="G686" t="s">
        <v>28</v>
      </c>
      <c r="H686">
        <v>60</v>
      </c>
      <c r="I686">
        <v>20</v>
      </c>
      <c r="J686">
        <v>4.1</v>
      </c>
      <c r="L686">
        <v>2</v>
      </c>
      <c r="N686">
        <v>68</v>
      </c>
      <c r="O686">
        <v>100</v>
      </c>
      <c r="S686">
        <v>3</v>
      </c>
      <c r="T686">
        <v>5.55</v>
      </c>
      <c r="U686">
        <v>10.3</v>
      </c>
      <c r="V686">
        <v>502</v>
      </c>
      <c r="X686" t="s">
        <v>586</v>
      </c>
    </row>
    <row r="687" spans="1:24">
      <c r="A687" t="str">
        <f>Hyperlink("https://www.diodes.com/part/view/DMN6069SE","DMN6069SE")</f>
        <v>DMN6069SE</v>
      </c>
      <c r="B687" t="str">
        <f>Hyperlink("https://www.diodes.com/assets/Datasheets/DMN6069SE.pdf","DMN6069SE Datasheet")</f>
        <v>DMN6069SE Datasheet</v>
      </c>
      <c r="C687" t="s">
        <v>24</v>
      </c>
      <c r="D687" t="s">
        <v>25</v>
      </c>
      <c r="E687" t="s">
        <v>26</v>
      </c>
      <c r="F687" t="s">
        <v>27</v>
      </c>
      <c r="G687" t="s">
        <v>28</v>
      </c>
      <c r="H687">
        <v>60</v>
      </c>
      <c r="I687">
        <v>20</v>
      </c>
      <c r="J687">
        <v>4.3</v>
      </c>
      <c r="L687">
        <v>2.2</v>
      </c>
      <c r="N687">
        <v>69</v>
      </c>
      <c r="O687">
        <v>100</v>
      </c>
      <c r="S687">
        <v>3</v>
      </c>
      <c r="T687">
        <v>7.2</v>
      </c>
      <c r="U687">
        <v>16</v>
      </c>
      <c r="V687">
        <v>825</v>
      </c>
      <c r="X687" t="s">
        <v>586</v>
      </c>
    </row>
    <row r="688" spans="1:24">
      <c r="A688" t="str">
        <f>Hyperlink("https://www.diodes.com/part/view/DMN6069SEQ","DMN6069SEQ")</f>
        <v>DMN6069SEQ</v>
      </c>
      <c r="B688" t="str">
        <f>Hyperlink("https://www.diodes.com/assets/Datasheets/DMN6069SEQ.pdf","DMN6069SEQ Datasheet")</f>
        <v>DMN6069SEQ Datasheet</v>
      </c>
      <c r="C688" t="s">
        <v>725</v>
      </c>
      <c r="D688" t="s">
        <v>25</v>
      </c>
      <c r="E688" t="s">
        <v>33</v>
      </c>
      <c r="F688" t="s">
        <v>27</v>
      </c>
      <c r="G688" t="s">
        <v>28</v>
      </c>
      <c r="H688">
        <v>60</v>
      </c>
      <c r="I688">
        <v>20</v>
      </c>
      <c r="J688">
        <v>4.3</v>
      </c>
      <c r="K688">
        <v>10</v>
      </c>
      <c r="L688">
        <v>2.2</v>
      </c>
      <c r="M688">
        <v>11</v>
      </c>
      <c r="N688">
        <v>69</v>
      </c>
      <c r="O688">
        <v>100</v>
      </c>
      <c r="R688">
        <v>1</v>
      </c>
      <c r="S688">
        <v>3</v>
      </c>
      <c r="T688">
        <v>7.2</v>
      </c>
      <c r="U688">
        <v>16</v>
      </c>
      <c r="V688">
        <v>825</v>
      </c>
      <c r="W688">
        <v>30</v>
      </c>
      <c r="X688" t="s">
        <v>586</v>
      </c>
    </row>
    <row r="689" spans="1:24">
      <c r="A689" t="str">
        <f>Hyperlink("https://www.diodes.com/part/view/DMN6069SFG","DMN6069SFG")</f>
        <v>DMN6069SFG</v>
      </c>
      <c r="B689" t="str">
        <f>Hyperlink("https://www.diodes.com/assets/Datasheets/DMN6069SFG.pdf","DMN6069SFG Datasheet")</f>
        <v>DMN6069SFG Datasheet</v>
      </c>
      <c r="C689" t="s">
        <v>24</v>
      </c>
      <c r="D689" t="s">
        <v>25</v>
      </c>
      <c r="E689" t="s">
        <v>26</v>
      </c>
      <c r="F689" t="s">
        <v>27</v>
      </c>
      <c r="G689" t="s">
        <v>28</v>
      </c>
      <c r="H689">
        <v>60</v>
      </c>
      <c r="I689">
        <v>20</v>
      </c>
      <c r="J689">
        <v>5.6</v>
      </c>
      <c r="K689">
        <v>18</v>
      </c>
      <c r="L689">
        <v>2.4</v>
      </c>
      <c r="N689">
        <v>50</v>
      </c>
      <c r="O689">
        <v>63</v>
      </c>
      <c r="S689">
        <v>3</v>
      </c>
      <c r="T689">
        <v>6.4</v>
      </c>
      <c r="U689">
        <v>14</v>
      </c>
      <c r="V689">
        <v>740</v>
      </c>
      <c r="W689">
        <v>30</v>
      </c>
      <c r="X689" t="s">
        <v>529</v>
      </c>
    </row>
    <row r="690" spans="1:24">
      <c r="A690" t="str">
        <f>Hyperlink("https://www.diodes.com/part/view/DMN6069SFGQ","DMN6069SFGQ")</f>
        <v>DMN6069SFGQ</v>
      </c>
      <c r="B690" t="str">
        <f>Hyperlink("https://www.diodes.com/assets/Datasheets/DMN6069SFGQ.pdf","DMN6069SFGQ Datasheet")</f>
        <v>DMN6069SFGQ Datasheet</v>
      </c>
      <c r="C690" t="s">
        <v>24</v>
      </c>
      <c r="D690" t="s">
        <v>25</v>
      </c>
      <c r="E690" t="s">
        <v>33</v>
      </c>
      <c r="F690" t="s">
        <v>27</v>
      </c>
      <c r="G690" t="s">
        <v>28</v>
      </c>
      <c r="H690">
        <v>60</v>
      </c>
      <c r="I690">
        <v>20</v>
      </c>
      <c r="J690">
        <v>5.6</v>
      </c>
      <c r="K690">
        <v>18</v>
      </c>
      <c r="L690">
        <v>2.4</v>
      </c>
      <c r="N690">
        <v>50</v>
      </c>
      <c r="O690">
        <v>63</v>
      </c>
      <c r="S690">
        <v>3</v>
      </c>
      <c r="T690">
        <v>6.4</v>
      </c>
      <c r="U690">
        <v>14</v>
      </c>
      <c r="V690">
        <v>740</v>
      </c>
      <c r="W690">
        <v>30</v>
      </c>
      <c r="X690" t="s">
        <v>529</v>
      </c>
    </row>
    <row r="691" spans="1:24">
      <c r="A691" t="str">
        <f>Hyperlink("https://www.diodes.com/part/view/DMN6069SFVW","DMN6069SFVW")</f>
        <v>DMN6069SFVW</v>
      </c>
      <c r="B691" t="str">
        <f>Hyperlink("https://www.diodes.com/assets/Datasheets/DMN6069SFVW.pdf","DMN6069SFVW Datasheet")</f>
        <v>DMN6069SFVW Datasheet</v>
      </c>
      <c r="C691" t="s">
        <v>729</v>
      </c>
      <c r="D691" t="s">
        <v>25</v>
      </c>
      <c r="E691" t="s">
        <v>26</v>
      </c>
      <c r="F691" t="s">
        <v>27</v>
      </c>
      <c r="G691" t="s">
        <v>28</v>
      </c>
      <c r="H691">
        <v>60</v>
      </c>
      <c r="I691">
        <v>20</v>
      </c>
      <c r="J691">
        <v>4</v>
      </c>
      <c r="L691">
        <v>2.5</v>
      </c>
      <c r="N691">
        <v>69</v>
      </c>
      <c r="O691">
        <v>100</v>
      </c>
      <c r="S691">
        <v>3</v>
      </c>
      <c r="T691">
        <v>6.4</v>
      </c>
      <c r="U691">
        <v>14</v>
      </c>
      <c r="X691" t="s">
        <v>529</v>
      </c>
    </row>
    <row r="692" spans="1:24">
      <c r="A692" t="str">
        <f>Hyperlink("https://www.diodes.com/part/view/DMN6069SFVWQ","DMN6069SFVWQ")</f>
        <v>DMN6069SFVWQ</v>
      </c>
      <c r="B692" t="str">
        <f>Hyperlink("https://www.diodes.com/assets/Datasheets/DMN6069SFVWQ.pdf","DMN6069SFVWQ Datasheet")</f>
        <v>DMN6069SFVWQ Datasheet</v>
      </c>
      <c r="C692" t="s">
        <v>729</v>
      </c>
      <c r="D692" t="s">
        <v>25</v>
      </c>
      <c r="E692" t="s">
        <v>33</v>
      </c>
      <c r="F692" t="s">
        <v>27</v>
      </c>
      <c r="G692" t="s">
        <v>28</v>
      </c>
      <c r="H692">
        <v>60</v>
      </c>
      <c r="I692">
        <v>20</v>
      </c>
      <c r="J692">
        <v>4</v>
      </c>
      <c r="L692">
        <v>2.5</v>
      </c>
      <c r="N692">
        <v>69</v>
      </c>
      <c r="O692">
        <v>100</v>
      </c>
      <c r="R692">
        <v>1</v>
      </c>
      <c r="S692">
        <v>3</v>
      </c>
      <c r="T692">
        <v>6.4</v>
      </c>
      <c r="U692">
        <v>14</v>
      </c>
      <c r="X692" t="s">
        <v>529</v>
      </c>
    </row>
    <row r="693" spans="1:24">
      <c r="A693" t="str">
        <f>Hyperlink("https://www.diodes.com/part/view/DMN6070SFCL","DMN6070SFCL")</f>
        <v>DMN6070SFCL</v>
      </c>
      <c r="B693" t="str">
        <f>Hyperlink("https://www.diodes.com/assets/Datasheets/DMN6070SFCL.pdf","DMN6070SFCL Datasheet")</f>
        <v>DMN6070SFCL Datasheet</v>
      </c>
      <c r="C693" t="s">
        <v>24</v>
      </c>
      <c r="D693" t="s">
        <v>25</v>
      </c>
      <c r="E693" t="s">
        <v>26</v>
      </c>
      <c r="F693" t="s">
        <v>27</v>
      </c>
      <c r="G693" t="s">
        <v>28</v>
      </c>
      <c r="H693">
        <v>60</v>
      </c>
      <c r="I693">
        <v>20</v>
      </c>
      <c r="J693">
        <v>3</v>
      </c>
      <c r="L693">
        <v>1.8</v>
      </c>
      <c r="N693">
        <v>85</v>
      </c>
      <c r="O693">
        <v>120</v>
      </c>
      <c r="S693">
        <v>3</v>
      </c>
      <c r="T693">
        <v>5.6</v>
      </c>
      <c r="U693">
        <v>12.3</v>
      </c>
      <c r="V693" t="s">
        <v>730</v>
      </c>
      <c r="X693" t="s">
        <v>624</v>
      </c>
    </row>
    <row r="694" spans="1:24">
      <c r="A694" t="str">
        <f>Hyperlink("https://www.diodes.com/part/view/DMN6070SSD","DMN6070SSD")</f>
        <v>DMN6070SSD</v>
      </c>
      <c r="B694" t="str">
        <f>Hyperlink("https://www.diodes.com/assets/Datasheets/DMN6070SSD.pdf","DMN6070SSD Datasheet")</f>
        <v>DMN6070SSD Datasheet</v>
      </c>
      <c r="C694" t="s">
        <v>34</v>
      </c>
      <c r="D694" t="s">
        <v>25</v>
      </c>
      <c r="E694" t="s">
        <v>26</v>
      </c>
      <c r="F694" t="s">
        <v>35</v>
      </c>
      <c r="G694" t="s">
        <v>28</v>
      </c>
      <c r="H694">
        <v>60</v>
      </c>
      <c r="I694">
        <v>20</v>
      </c>
      <c r="J694">
        <v>3.3</v>
      </c>
      <c r="L694">
        <v>1.5</v>
      </c>
      <c r="N694">
        <v>80</v>
      </c>
      <c r="O694">
        <v>100</v>
      </c>
      <c r="S694">
        <v>3</v>
      </c>
      <c r="T694">
        <v>5.6</v>
      </c>
      <c r="U694">
        <v>12.3</v>
      </c>
      <c r="V694">
        <v>588</v>
      </c>
      <c r="X694" t="s">
        <v>155</v>
      </c>
    </row>
    <row r="695" spans="1:24">
      <c r="A695" t="str">
        <f>Hyperlink("https://www.diodes.com/part/view/DMN6070SSDQ","DMN6070SSDQ")</f>
        <v>DMN6070SSDQ</v>
      </c>
      <c r="B695" t="str">
        <f>Hyperlink("https://www.diodes.com/assets/Datasheets/DMN6070SSDQ.pdf","DMN6070SSDQ Datasheet")</f>
        <v>DMN6070SSDQ Datasheet</v>
      </c>
      <c r="C695" t="s">
        <v>38</v>
      </c>
      <c r="D695" t="s">
        <v>25</v>
      </c>
      <c r="E695" t="s">
        <v>33</v>
      </c>
      <c r="F695" t="s">
        <v>35</v>
      </c>
      <c r="G695" t="s">
        <v>28</v>
      </c>
      <c r="H695">
        <v>60</v>
      </c>
      <c r="I695">
        <v>20</v>
      </c>
      <c r="J695">
        <v>3.3</v>
      </c>
      <c r="L695">
        <v>1.2</v>
      </c>
      <c r="N695">
        <v>87</v>
      </c>
      <c r="O695">
        <v>100</v>
      </c>
      <c r="S695">
        <v>3</v>
      </c>
      <c r="T695">
        <v>5.6</v>
      </c>
      <c r="U695">
        <v>12.3</v>
      </c>
      <c r="V695">
        <v>588</v>
      </c>
      <c r="W695">
        <v>30</v>
      </c>
      <c r="X695" t="s">
        <v>155</v>
      </c>
    </row>
    <row r="696" spans="1:24">
      <c r="A696" t="str">
        <f>Hyperlink("https://www.diodes.com/part/view/DMN6070SY","DMN6070SY")</f>
        <v>DMN6070SY</v>
      </c>
      <c r="B696" t="str">
        <f>Hyperlink("https://www.diodes.com/assets/Datasheets/DMN6070SY.pdf","DMN6070SY Datasheet")</f>
        <v>DMN6070SY Datasheet</v>
      </c>
      <c r="C696" t="s">
        <v>721</v>
      </c>
      <c r="D696" t="s">
        <v>28</v>
      </c>
      <c r="E696" t="s">
        <v>26</v>
      </c>
      <c r="F696" t="s">
        <v>27</v>
      </c>
      <c r="G696" t="s">
        <v>28</v>
      </c>
      <c r="H696">
        <v>60</v>
      </c>
      <c r="I696">
        <v>20</v>
      </c>
      <c r="J696">
        <v>4.1</v>
      </c>
      <c r="L696">
        <v>2.1</v>
      </c>
      <c r="N696">
        <v>85</v>
      </c>
      <c r="O696">
        <v>110</v>
      </c>
      <c r="S696">
        <v>3</v>
      </c>
      <c r="T696">
        <v>5.6</v>
      </c>
      <c r="U696">
        <v>12.3</v>
      </c>
      <c r="V696">
        <v>588</v>
      </c>
      <c r="W696">
        <v>30</v>
      </c>
      <c r="X696" t="s">
        <v>731</v>
      </c>
    </row>
    <row r="697" spans="1:24">
      <c r="A697" t="str">
        <f>Hyperlink("https://www.diodes.com/part/view/DMN6075S","DMN6075S")</f>
        <v>DMN6075S</v>
      </c>
      <c r="B697" t="str">
        <f>Hyperlink("https://www.diodes.com/assets/Datasheets/DMN6075S.pdf","DMN6075S Datasheet")</f>
        <v>DMN6075S Datasheet</v>
      </c>
      <c r="C697" t="s">
        <v>721</v>
      </c>
      <c r="D697" t="s">
        <v>25</v>
      </c>
      <c r="E697" t="s">
        <v>26</v>
      </c>
      <c r="F697" t="s">
        <v>27</v>
      </c>
      <c r="G697" t="s">
        <v>28</v>
      </c>
      <c r="H697">
        <v>60</v>
      </c>
      <c r="I697">
        <v>20</v>
      </c>
      <c r="J697">
        <v>2.5</v>
      </c>
      <c r="L697">
        <v>1.15</v>
      </c>
      <c r="N697">
        <v>85</v>
      </c>
      <c r="O697">
        <v>120</v>
      </c>
      <c r="S697">
        <v>3</v>
      </c>
      <c r="T697">
        <v>5.6</v>
      </c>
      <c r="U697">
        <v>12.3</v>
      </c>
      <c r="V697" t="s">
        <v>730</v>
      </c>
      <c r="X697" t="s">
        <v>32</v>
      </c>
    </row>
    <row r="698" spans="1:24">
      <c r="A698" t="str">
        <f>Hyperlink("https://www.diodes.com/part/view/DMN6075SQ","DMN6075SQ")</f>
        <v>DMN6075SQ</v>
      </c>
      <c r="B698" t="str">
        <f>Hyperlink("https://www.diodes.com/assets/Datasheets/DMN6075SQ.pdf","DMN6075SQ Datasheet")</f>
        <v>DMN6075SQ Datasheet</v>
      </c>
      <c r="C698" t="s">
        <v>721</v>
      </c>
      <c r="D698" t="s">
        <v>25</v>
      </c>
      <c r="E698" t="s">
        <v>33</v>
      </c>
      <c r="F698" t="s">
        <v>27</v>
      </c>
      <c r="G698" t="s">
        <v>28</v>
      </c>
      <c r="H698">
        <v>60</v>
      </c>
      <c r="I698">
        <v>20</v>
      </c>
      <c r="J698">
        <v>2.5</v>
      </c>
      <c r="L698">
        <v>1.15</v>
      </c>
      <c r="N698">
        <v>85</v>
      </c>
      <c r="O698">
        <v>120</v>
      </c>
      <c r="S698">
        <v>3</v>
      </c>
      <c r="T698">
        <v>5.6</v>
      </c>
      <c r="U698">
        <v>12.3</v>
      </c>
      <c r="V698">
        <v>606</v>
      </c>
      <c r="W698">
        <v>20</v>
      </c>
      <c r="X698" t="s">
        <v>32</v>
      </c>
    </row>
    <row r="699" spans="1:24">
      <c r="A699" t="str">
        <f>Hyperlink("https://www.diodes.com/part/view/DMN60H080DS","DMN60H080DS")</f>
        <v>DMN60H080DS</v>
      </c>
      <c r="B699" t="str">
        <f>Hyperlink("https://www.diodes.com/assets/Datasheets/DMN60H080DS.pdf","DMN60H080DS Datasheet")</f>
        <v>DMN60H080DS Datasheet</v>
      </c>
      <c r="C699" t="s">
        <v>24</v>
      </c>
      <c r="D699" t="s">
        <v>28</v>
      </c>
      <c r="E699" t="s">
        <v>26</v>
      </c>
      <c r="F699" t="s">
        <v>27</v>
      </c>
      <c r="G699" t="s">
        <v>25</v>
      </c>
      <c r="H699">
        <v>600</v>
      </c>
      <c r="I699">
        <v>20</v>
      </c>
      <c r="J699">
        <v>0.08</v>
      </c>
      <c r="L699">
        <v>1.1</v>
      </c>
      <c r="N699">
        <v>100000</v>
      </c>
      <c r="O699">
        <v>290000</v>
      </c>
      <c r="S699">
        <v>3</v>
      </c>
      <c r="U699">
        <v>1.7</v>
      </c>
      <c r="V699">
        <v>25</v>
      </c>
      <c r="W699">
        <v>25</v>
      </c>
      <c r="X699" t="s">
        <v>32</v>
      </c>
    </row>
    <row r="700" spans="1:24">
      <c r="A700" t="str">
        <f>Hyperlink("https://www.diodes.com/part/view/DMN6140L","DMN6140L")</f>
        <v>DMN6140L</v>
      </c>
      <c r="B700" t="str">
        <f>Hyperlink("https://www.diodes.com/assets/Datasheets/DMN6140L.pdf","DMN6140L Datasheet")</f>
        <v>DMN6140L Datasheet</v>
      </c>
      <c r="C700" t="s">
        <v>721</v>
      </c>
      <c r="D700" t="s">
        <v>25</v>
      </c>
      <c r="E700" t="s">
        <v>26</v>
      </c>
      <c r="F700" t="s">
        <v>27</v>
      </c>
      <c r="G700" t="s">
        <v>28</v>
      </c>
      <c r="H700">
        <v>60</v>
      </c>
      <c r="I700">
        <v>20</v>
      </c>
      <c r="J700">
        <v>2.3</v>
      </c>
      <c r="L700">
        <v>1.3</v>
      </c>
      <c r="N700">
        <v>140</v>
      </c>
      <c r="O700">
        <v>170</v>
      </c>
      <c r="S700">
        <v>3</v>
      </c>
      <c r="T700" t="s">
        <v>732</v>
      </c>
      <c r="U700">
        <v>8.6</v>
      </c>
      <c r="V700" t="s">
        <v>733</v>
      </c>
      <c r="X700" t="s">
        <v>32</v>
      </c>
    </row>
    <row r="701" spans="1:24">
      <c r="A701" t="str">
        <f>Hyperlink("https://www.diodes.com/part/view/DMN6140LQ","DMN6140LQ")</f>
        <v>DMN6140LQ</v>
      </c>
      <c r="B701" t="str">
        <f>Hyperlink("https://www.diodes.com/assets/Datasheets/DMN6140LQ.pdf","DMN6140LQ Datasheet")</f>
        <v>DMN6140LQ Datasheet</v>
      </c>
      <c r="C701" t="s">
        <v>721</v>
      </c>
      <c r="D701" t="s">
        <v>25</v>
      </c>
      <c r="E701" t="s">
        <v>33</v>
      </c>
      <c r="F701" t="s">
        <v>27</v>
      </c>
      <c r="G701" t="s">
        <v>28</v>
      </c>
      <c r="H701">
        <v>60</v>
      </c>
      <c r="I701">
        <v>20</v>
      </c>
      <c r="J701">
        <v>2.3</v>
      </c>
      <c r="L701">
        <v>1.3</v>
      </c>
      <c r="N701">
        <v>140</v>
      </c>
      <c r="O701">
        <v>170</v>
      </c>
      <c r="S701">
        <v>3</v>
      </c>
      <c r="T701" t="s">
        <v>732</v>
      </c>
      <c r="U701">
        <v>8.6</v>
      </c>
      <c r="V701">
        <v>315</v>
      </c>
      <c r="W701">
        <v>40</v>
      </c>
      <c r="X701" t="s">
        <v>32</v>
      </c>
    </row>
    <row r="702" spans="1:24">
      <c r="A702" t="str">
        <f>Hyperlink("https://www.diodes.com/part/view/DMN61D8L","DMN61D8L")</f>
        <v>DMN61D8L</v>
      </c>
      <c r="B702" t="str">
        <f>Hyperlink("https://www.diodes.com/assets/Datasheets/DMN61D8L-LVT.pdf","DMN61D8L Datasheet")</f>
        <v>DMN61D8L Datasheet</v>
      </c>
      <c r="C702" t="s">
        <v>24</v>
      </c>
      <c r="D702" t="s">
        <v>25</v>
      </c>
      <c r="E702" t="s">
        <v>26</v>
      </c>
      <c r="F702" t="s">
        <v>27</v>
      </c>
      <c r="G702" t="s">
        <v>25</v>
      </c>
      <c r="H702">
        <v>60</v>
      </c>
      <c r="I702">
        <v>12</v>
      </c>
      <c r="J702">
        <v>0.47</v>
      </c>
      <c r="L702">
        <v>0.61</v>
      </c>
      <c r="O702" t="s">
        <v>734</v>
      </c>
      <c r="P702" t="s">
        <v>735</v>
      </c>
      <c r="S702">
        <v>2</v>
      </c>
      <c r="T702" t="s">
        <v>736</v>
      </c>
      <c r="V702">
        <v>12.9</v>
      </c>
      <c r="W702">
        <v>12</v>
      </c>
      <c r="X702" t="s">
        <v>32</v>
      </c>
    </row>
    <row r="703" spans="1:24">
      <c r="A703" t="str">
        <f>Hyperlink("https://www.diodes.com/part/view/DMN61D8LQ","DMN61D8LQ")</f>
        <v>DMN61D8LQ</v>
      </c>
      <c r="B703" t="str">
        <f>Hyperlink("https://www.diodes.com/assets/Datasheets/DMN61D8LQ.pdf","DMN61D8LQ Datasheet")</f>
        <v>DMN61D8LQ Datasheet</v>
      </c>
      <c r="C703" t="s">
        <v>737</v>
      </c>
      <c r="D703" t="s">
        <v>25</v>
      </c>
      <c r="E703" t="s">
        <v>33</v>
      </c>
      <c r="F703" t="s">
        <v>27</v>
      </c>
      <c r="G703" t="s">
        <v>25</v>
      </c>
      <c r="H703">
        <v>60</v>
      </c>
      <c r="I703">
        <v>12</v>
      </c>
      <c r="J703">
        <v>0.47</v>
      </c>
      <c r="L703">
        <v>0.61</v>
      </c>
      <c r="O703" t="s">
        <v>734</v>
      </c>
      <c r="P703" t="s">
        <v>735</v>
      </c>
      <c r="S703">
        <v>2</v>
      </c>
      <c r="T703" t="s">
        <v>736</v>
      </c>
      <c r="V703">
        <v>12.9</v>
      </c>
      <c r="W703">
        <v>12</v>
      </c>
      <c r="X703" t="s">
        <v>32</v>
      </c>
    </row>
    <row r="704" spans="1:24">
      <c r="A704" t="str">
        <f>Hyperlink("https://www.diodes.com/part/view/DMN61D8LVT","DMN61D8LVT")</f>
        <v>DMN61D8LVT</v>
      </c>
      <c r="B704" t="str">
        <f>Hyperlink("https://www.diodes.com/assets/Datasheets/DMN61D8L-LVT.pdf","DMN61D8LVT Datasheet")</f>
        <v>DMN61D8LVT Datasheet</v>
      </c>
      <c r="C704" t="s">
        <v>34</v>
      </c>
      <c r="D704" t="s">
        <v>25</v>
      </c>
      <c r="E704" t="s">
        <v>26</v>
      </c>
      <c r="F704" t="s">
        <v>35</v>
      </c>
      <c r="G704" t="s">
        <v>25</v>
      </c>
      <c r="H704">
        <v>60</v>
      </c>
      <c r="I704">
        <v>12</v>
      </c>
      <c r="J704">
        <v>0.63</v>
      </c>
      <c r="L704">
        <v>1.09</v>
      </c>
      <c r="O704" t="s">
        <v>734</v>
      </c>
      <c r="P704" t="s">
        <v>735</v>
      </c>
      <c r="S704">
        <v>2</v>
      </c>
      <c r="T704" t="s">
        <v>736</v>
      </c>
      <c r="V704">
        <v>12.9</v>
      </c>
      <c r="W704">
        <v>12</v>
      </c>
      <c r="X704" t="s">
        <v>128</v>
      </c>
    </row>
    <row r="705" spans="1:24">
      <c r="A705" t="str">
        <f>Hyperlink("https://www.diodes.com/part/view/DMN61D8LVTQ","DMN61D8LVTQ")</f>
        <v>DMN61D8LVTQ</v>
      </c>
      <c r="B705" t="str">
        <f>Hyperlink("https://www.diodes.com/assets/Datasheets/DMN61D8LVTQ.pdf","DMN61D8LVTQ Datasheet")</f>
        <v>DMN61D8LVTQ Datasheet</v>
      </c>
      <c r="C705" t="s">
        <v>737</v>
      </c>
      <c r="D705" t="s">
        <v>25</v>
      </c>
      <c r="E705" t="s">
        <v>33</v>
      </c>
      <c r="F705" t="s">
        <v>35</v>
      </c>
      <c r="G705" t="s">
        <v>25</v>
      </c>
      <c r="H705">
        <v>60</v>
      </c>
      <c r="I705">
        <v>12</v>
      </c>
      <c r="J705">
        <v>0.63</v>
      </c>
      <c r="L705">
        <v>1.09</v>
      </c>
      <c r="O705" t="s">
        <v>734</v>
      </c>
      <c r="P705" t="s">
        <v>735</v>
      </c>
      <c r="S705">
        <v>2</v>
      </c>
      <c r="T705" t="s">
        <v>736</v>
      </c>
      <c r="V705">
        <v>12.9</v>
      </c>
      <c r="W705">
        <v>12</v>
      </c>
      <c r="X705" t="s">
        <v>128</v>
      </c>
    </row>
    <row r="706" spans="1:24">
      <c r="A706" t="str">
        <f>Hyperlink("https://www.diodes.com/part/view/DMN61D9UDWQ","DMN61D9UDWQ")</f>
        <v>DMN61D9UDWQ</v>
      </c>
      <c r="B706" t="str">
        <f>Hyperlink("https://www.diodes.com/assets/Datasheets/DMN61D9UDWQ.pdf","DMN61D9UDWQ Datasheet")</f>
        <v>DMN61D9UDWQ Datasheet</v>
      </c>
      <c r="C706" t="s">
        <v>34</v>
      </c>
      <c r="D706" t="s">
        <v>25</v>
      </c>
      <c r="E706" t="s">
        <v>33</v>
      </c>
      <c r="F706" t="s">
        <v>35</v>
      </c>
      <c r="G706" t="s">
        <v>25</v>
      </c>
      <c r="H706">
        <v>60</v>
      </c>
      <c r="I706">
        <v>20</v>
      </c>
      <c r="J706">
        <v>0.318</v>
      </c>
      <c r="L706">
        <v>0.44</v>
      </c>
      <c r="O706" t="s">
        <v>720</v>
      </c>
      <c r="P706">
        <v>2500</v>
      </c>
      <c r="Q706">
        <v>3500</v>
      </c>
      <c r="S706">
        <v>1</v>
      </c>
      <c r="T706">
        <v>0.6</v>
      </c>
      <c r="X706" t="s">
        <v>37</v>
      </c>
    </row>
    <row r="707" spans="1:24">
      <c r="A707" t="str">
        <f>Hyperlink("https://www.diodes.com/part/view/DMN62D0LFB","DMN62D0LFB")</f>
        <v>DMN62D0LFB</v>
      </c>
      <c r="B707" t="str">
        <f>Hyperlink("https://www.diodes.com/assets/Datasheets/DMN62D0LFB.pdf","DMN62D0LFB Datasheet")</f>
        <v>DMN62D0LFB Datasheet</v>
      </c>
      <c r="C707" t="s">
        <v>24</v>
      </c>
      <c r="D707" t="s">
        <v>25</v>
      </c>
      <c r="E707" t="s">
        <v>26</v>
      </c>
      <c r="F707" t="s">
        <v>27</v>
      </c>
      <c r="G707" t="s">
        <v>25</v>
      </c>
      <c r="H707">
        <v>60</v>
      </c>
      <c r="I707">
        <v>20</v>
      </c>
      <c r="J707">
        <v>0.1</v>
      </c>
      <c r="L707">
        <v>0.47</v>
      </c>
      <c r="O707">
        <v>2500</v>
      </c>
      <c r="P707">
        <v>2500</v>
      </c>
      <c r="R707">
        <v>0.6</v>
      </c>
      <c r="S707">
        <v>1</v>
      </c>
      <c r="X707" t="s">
        <v>592</v>
      </c>
    </row>
    <row r="708" spans="1:24">
      <c r="A708" t="str">
        <f>Hyperlink("https://www.diodes.com/part/view/DMN62D0LFD","DMN62D0LFD")</f>
        <v>DMN62D0LFD</v>
      </c>
      <c r="B708" t="str">
        <f>Hyperlink("https://www.diodes.com/assets/Datasheets/DMN62D0LFD.pdf","DMN62D0LFD Datasheet")</f>
        <v>DMN62D0LFD Datasheet</v>
      </c>
      <c r="C708" t="s">
        <v>24</v>
      </c>
      <c r="D708" t="s">
        <v>28</v>
      </c>
      <c r="E708" t="s">
        <v>26</v>
      </c>
      <c r="F708" t="s">
        <v>27</v>
      </c>
      <c r="G708" t="s">
        <v>25</v>
      </c>
      <c r="H708">
        <v>60</v>
      </c>
      <c r="I708">
        <v>20</v>
      </c>
      <c r="J708">
        <v>0.31</v>
      </c>
      <c r="L708">
        <v>0.48</v>
      </c>
      <c r="O708" t="s">
        <v>689</v>
      </c>
      <c r="P708">
        <v>2500</v>
      </c>
      <c r="Q708">
        <v>3000</v>
      </c>
      <c r="S708">
        <v>1</v>
      </c>
      <c r="T708">
        <v>0.5</v>
      </c>
      <c r="V708">
        <v>31</v>
      </c>
      <c r="W708">
        <v>25</v>
      </c>
      <c r="X708" t="s">
        <v>646</v>
      </c>
    </row>
    <row r="709" spans="1:24">
      <c r="A709" t="str">
        <f>Hyperlink("https://www.diodes.com/part/view/DMN62D0SFD","DMN62D0SFD")</f>
        <v>DMN62D0SFD</v>
      </c>
      <c r="B709" t="str">
        <f>Hyperlink("https://www.diodes.com/assets/Datasheets/DMN62D0SFD.pdf","DMN62D0SFD Datasheet")</f>
        <v>DMN62D0SFD Datasheet</v>
      </c>
      <c r="C709" t="s">
        <v>24</v>
      </c>
      <c r="D709" t="s">
        <v>25</v>
      </c>
      <c r="E709" t="s">
        <v>26</v>
      </c>
      <c r="F709" t="s">
        <v>27</v>
      </c>
      <c r="G709" t="s">
        <v>25</v>
      </c>
      <c r="H709">
        <v>60</v>
      </c>
      <c r="I709">
        <v>20</v>
      </c>
      <c r="J709">
        <v>0.54</v>
      </c>
      <c r="L709">
        <v>0.89</v>
      </c>
      <c r="N709">
        <v>2000</v>
      </c>
      <c r="O709" t="s">
        <v>719</v>
      </c>
      <c r="S709">
        <v>2.5</v>
      </c>
      <c r="T709">
        <v>0.39</v>
      </c>
      <c r="U709">
        <v>0.87</v>
      </c>
      <c r="V709" t="s">
        <v>738</v>
      </c>
      <c r="X709" t="s">
        <v>644</v>
      </c>
    </row>
    <row r="710" spans="1:24">
      <c r="A710" t="str">
        <f>Hyperlink("https://www.diodes.com/part/view/DMN62D0U","DMN62D0U")</f>
        <v>DMN62D0U</v>
      </c>
      <c r="B710" t="str">
        <f>Hyperlink("https://www.diodes.com/assets/Datasheets/DMN62D0U.pdf","DMN62D0U Datasheet")</f>
        <v>DMN62D0U Datasheet</v>
      </c>
      <c r="C710" t="s">
        <v>24</v>
      </c>
      <c r="D710" t="s">
        <v>25</v>
      </c>
      <c r="E710" t="s">
        <v>26</v>
      </c>
      <c r="F710" t="s">
        <v>27</v>
      </c>
      <c r="G710" t="s">
        <v>25</v>
      </c>
      <c r="H710">
        <v>60</v>
      </c>
      <c r="I710">
        <v>20</v>
      </c>
      <c r="J710">
        <v>0.38</v>
      </c>
      <c r="L710">
        <v>0.59</v>
      </c>
      <c r="O710">
        <v>2000</v>
      </c>
      <c r="P710">
        <v>2500</v>
      </c>
      <c r="Q710">
        <v>3000</v>
      </c>
      <c r="S710">
        <v>1</v>
      </c>
      <c r="T710">
        <v>0.5</v>
      </c>
      <c r="V710">
        <v>31</v>
      </c>
      <c r="W710">
        <v>30</v>
      </c>
      <c r="X710" t="s">
        <v>32</v>
      </c>
    </row>
    <row r="711" spans="1:24">
      <c r="A711" t="str">
        <f>Hyperlink("https://www.diodes.com/part/view/DMN62D0UDW","DMN62D0UDW")</f>
        <v>DMN62D0UDW</v>
      </c>
      <c r="B711" t="str">
        <f>Hyperlink("https://www.diodes.com/assets/Datasheets/DMN62D0UDW.pdf","DMN62D0UDW Datasheet")</f>
        <v>DMN62D0UDW Datasheet</v>
      </c>
      <c r="C711" t="s">
        <v>34</v>
      </c>
      <c r="D711" t="s">
        <v>25</v>
      </c>
      <c r="E711" t="s">
        <v>26</v>
      </c>
      <c r="F711" t="s">
        <v>35</v>
      </c>
      <c r="G711" t="s">
        <v>25</v>
      </c>
      <c r="H711">
        <v>60</v>
      </c>
      <c r="I711">
        <v>20</v>
      </c>
      <c r="J711">
        <v>0.35</v>
      </c>
      <c r="L711">
        <v>0.41</v>
      </c>
      <c r="O711">
        <v>2000</v>
      </c>
      <c r="P711">
        <v>2500</v>
      </c>
      <c r="Q711">
        <v>3000</v>
      </c>
      <c r="S711">
        <v>1</v>
      </c>
      <c r="T711">
        <v>0.5</v>
      </c>
      <c r="V711">
        <v>31</v>
      </c>
      <c r="W711">
        <v>31</v>
      </c>
      <c r="X711" t="s">
        <v>66</v>
      </c>
    </row>
    <row r="712" spans="1:24">
      <c r="A712" t="str">
        <f>Hyperlink("https://www.diodes.com/part/view/DMN62D0UDWQ","DMN62D0UDWQ")</f>
        <v>DMN62D0UDWQ</v>
      </c>
      <c r="B712" t="str">
        <f>Hyperlink("https://www.diodes.com/assets/Datasheets/DMN62D0UDWQ.pdf","DMN62D0UDWQ Datasheet")</f>
        <v>DMN62D0UDWQ Datasheet</v>
      </c>
      <c r="C712" t="s">
        <v>34</v>
      </c>
      <c r="D712" t="s">
        <v>25</v>
      </c>
      <c r="E712" t="s">
        <v>33</v>
      </c>
      <c r="F712" t="s">
        <v>35</v>
      </c>
      <c r="G712" t="s">
        <v>25</v>
      </c>
      <c r="H712">
        <v>60</v>
      </c>
      <c r="I712">
        <v>20</v>
      </c>
      <c r="J712">
        <v>0.35</v>
      </c>
      <c r="L712">
        <v>0.41</v>
      </c>
      <c r="O712">
        <v>2000</v>
      </c>
      <c r="P712">
        <v>2500</v>
      </c>
      <c r="Q712">
        <v>3500</v>
      </c>
      <c r="S712">
        <v>1.1</v>
      </c>
      <c r="T712">
        <v>0.5</v>
      </c>
      <c r="V712">
        <v>32</v>
      </c>
      <c r="W712">
        <v>30</v>
      </c>
      <c r="X712" t="s">
        <v>37</v>
      </c>
    </row>
    <row r="713" spans="1:24">
      <c r="A713" t="str">
        <f>Hyperlink("https://www.diodes.com/part/view/DMN62D0UT","DMN62D0UT")</f>
        <v>DMN62D0UT</v>
      </c>
      <c r="B713" t="str">
        <f>Hyperlink("https://www.diodes.com/assets/Datasheets/DMN62D0UT.pdf","DMN62D0UT Datasheet")</f>
        <v>DMN62D0UT Datasheet</v>
      </c>
      <c r="C713" t="s">
        <v>24</v>
      </c>
      <c r="D713" t="s">
        <v>28</v>
      </c>
      <c r="E713" t="s">
        <v>26</v>
      </c>
      <c r="F713" t="s">
        <v>27</v>
      </c>
      <c r="G713" t="s">
        <v>25</v>
      </c>
      <c r="H713">
        <v>60</v>
      </c>
      <c r="I713">
        <v>20</v>
      </c>
      <c r="J713">
        <v>0.32</v>
      </c>
      <c r="L713">
        <v>0.34</v>
      </c>
      <c r="O713">
        <v>2000</v>
      </c>
      <c r="P713">
        <v>2500</v>
      </c>
      <c r="Q713">
        <v>3000</v>
      </c>
      <c r="S713">
        <v>1</v>
      </c>
      <c r="T713">
        <v>0.5</v>
      </c>
      <c r="V713">
        <v>32</v>
      </c>
      <c r="W713">
        <v>30</v>
      </c>
      <c r="X713" t="s">
        <v>41</v>
      </c>
    </row>
    <row r="714" spans="1:24">
      <c r="A714" t="str">
        <f>Hyperlink("https://www.diodes.com/part/view/DMN62D0UV","DMN62D0UV")</f>
        <v>DMN62D0UV</v>
      </c>
      <c r="B714" t="str">
        <f>Hyperlink("https://www.diodes.com/assets/Datasheets/DMN62D0UV.pdf","DMN62D0UV Datasheet")</f>
        <v>DMN62D0UV Datasheet</v>
      </c>
      <c r="C714" t="s">
        <v>34</v>
      </c>
      <c r="D714" t="s">
        <v>28</v>
      </c>
      <c r="E714" t="s">
        <v>26</v>
      </c>
      <c r="F714" t="s">
        <v>27</v>
      </c>
      <c r="G714" t="s">
        <v>25</v>
      </c>
      <c r="H714">
        <v>60</v>
      </c>
      <c r="I714">
        <v>20</v>
      </c>
      <c r="J714">
        <v>0.49</v>
      </c>
      <c r="L714">
        <v>0.74</v>
      </c>
      <c r="O714">
        <v>2000</v>
      </c>
      <c r="P714">
        <v>2500</v>
      </c>
      <c r="Q714">
        <v>3000</v>
      </c>
      <c r="R714">
        <v>0.5</v>
      </c>
      <c r="S714">
        <v>1.0</v>
      </c>
      <c r="T714">
        <v>0.5</v>
      </c>
      <c r="V714">
        <v>32</v>
      </c>
      <c r="W714">
        <v>30</v>
      </c>
      <c r="X714" t="s">
        <v>43</v>
      </c>
    </row>
    <row r="715" spans="1:24">
      <c r="A715" t="str">
        <f>Hyperlink("https://www.diodes.com/part/view/DMN62D1LFB","DMN62D1LFB")</f>
        <v>DMN62D1LFB</v>
      </c>
      <c r="B715" t="str">
        <f>Hyperlink("https://www.diodes.com/assets/Datasheets/DMN62D1LFB.pdf","DMN62D1LFB Datasheet")</f>
        <v>DMN62D1LFB Datasheet</v>
      </c>
      <c r="C715" t="s">
        <v>24</v>
      </c>
      <c r="D715" t="s">
        <v>28</v>
      </c>
      <c r="E715" t="s">
        <v>26</v>
      </c>
      <c r="F715" t="s">
        <v>27</v>
      </c>
      <c r="G715" t="s">
        <v>25</v>
      </c>
      <c r="H715">
        <v>60</v>
      </c>
      <c r="I715">
        <v>20</v>
      </c>
      <c r="J715">
        <v>0.41</v>
      </c>
      <c r="L715">
        <v>0.5</v>
      </c>
      <c r="O715" t="s">
        <v>689</v>
      </c>
      <c r="P715">
        <v>2500</v>
      </c>
      <c r="Q715">
        <v>3000</v>
      </c>
      <c r="S715">
        <v>1</v>
      </c>
      <c r="T715">
        <v>0.45</v>
      </c>
      <c r="V715">
        <v>32</v>
      </c>
      <c r="W715">
        <v>25</v>
      </c>
      <c r="X715" t="s">
        <v>592</v>
      </c>
    </row>
    <row r="716" spans="1:24">
      <c r="A716" t="str">
        <f>Hyperlink("https://www.diodes.com/part/view/DMN62D1LFD","DMN62D1LFD")</f>
        <v>DMN62D1LFD</v>
      </c>
      <c r="B716" t="str">
        <f>Hyperlink("https://www.diodes.com/assets/Datasheets/DMN62D1LFD.pdf","DMN62D1LFD Datasheet")</f>
        <v>DMN62D1LFD Datasheet</v>
      </c>
      <c r="C716" t="s">
        <v>24</v>
      </c>
      <c r="D716" t="s">
        <v>25</v>
      </c>
      <c r="E716" t="s">
        <v>26</v>
      </c>
      <c r="F716" t="s">
        <v>27</v>
      </c>
      <c r="G716" t="s">
        <v>25</v>
      </c>
      <c r="H716">
        <v>60</v>
      </c>
      <c r="I716">
        <v>20</v>
      </c>
      <c r="J716">
        <v>0.4</v>
      </c>
      <c r="L716">
        <v>0.5</v>
      </c>
      <c r="O716" t="s">
        <v>689</v>
      </c>
      <c r="P716">
        <v>2500</v>
      </c>
      <c r="Q716">
        <v>3000</v>
      </c>
      <c r="S716">
        <v>1</v>
      </c>
      <c r="T716">
        <v>0.55</v>
      </c>
      <c r="V716" t="s">
        <v>739</v>
      </c>
      <c r="X716" t="s">
        <v>646</v>
      </c>
    </row>
    <row r="717" spans="1:24">
      <c r="A717" t="str">
        <f>Hyperlink("https://www.diodes.com/part/view/DMN62D1LFDQ","DMN62D1LFDQ")</f>
        <v>DMN62D1LFDQ</v>
      </c>
      <c r="B717" t="str">
        <f>Hyperlink("https://www.diodes.com/assets/Datasheets/DMN62D1LFDQ.pdf","DMN62D1LFDQ Datasheet")</f>
        <v>DMN62D1LFDQ Datasheet</v>
      </c>
      <c r="C717" t="s">
        <v>24</v>
      </c>
      <c r="D717" t="s">
        <v>25</v>
      </c>
      <c r="E717" t="s">
        <v>33</v>
      </c>
      <c r="F717" t="s">
        <v>27</v>
      </c>
      <c r="G717" t="s">
        <v>25</v>
      </c>
      <c r="H717">
        <v>60</v>
      </c>
      <c r="I717">
        <v>20</v>
      </c>
      <c r="J717">
        <v>0.4</v>
      </c>
      <c r="L717">
        <v>0.5</v>
      </c>
      <c r="O717" t="s">
        <v>689</v>
      </c>
      <c r="P717">
        <v>2500</v>
      </c>
      <c r="Q717">
        <v>3000</v>
      </c>
      <c r="S717">
        <v>1</v>
      </c>
      <c r="T717">
        <v>0.55</v>
      </c>
      <c r="V717">
        <v>36</v>
      </c>
      <c r="W717">
        <v>25</v>
      </c>
      <c r="X717" t="s">
        <v>646</v>
      </c>
    </row>
    <row r="718" spans="1:24">
      <c r="A718" t="str">
        <f>Hyperlink("https://www.diodes.com/part/view/DMN62D1SFB","DMN62D1SFB")</f>
        <v>DMN62D1SFB</v>
      </c>
      <c r="B718" t="str">
        <f>Hyperlink("https://www.diodes.com/assets/Datasheets/DMN62D1SFB.pdf","DMN62D1SFB Datasheet")</f>
        <v>DMN62D1SFB Datasheet</v>
      </c>
      <c r="C718" t="s">
        <v>24</v>
      </c>
      <c r="D718" t="s">
        <v>25</v>
      </c>
      <c r="E718" t="s">
        <v>26</v>
      </c>
      <c r="F718" t="s">
        <v>27</v>
      </c>
      <c r="G718" t="s">
        <v>25</v>
      </c>
      <c r="H718">
        <v>60</v>
      </c>
      <c r="I718">
        <v>20</v>
      </c>
      <c r="J718">
        <v>0.41</v>
      </c>
      <c r="L718">
        <v>0.47</v>
      </c>
      <c r="N718">
        <v>1400</v>
      </c>
      <c r="O718">
        <v>1600</v>
      </c>
      <c r="S718">
        <v>2.3</v>
      </c>
      <c r="T718">
        <v>0.73</v>
      </c>
      <c r="U718">
        <v>1.39</v>
      </c>
      <c r="V718" t="s">
        <v>740</v>
      </c>
      <c r="X718" t="s">
        <v>592</v>
      </c>
    </row>
    <row r="719" spans="1:24">
      <c r="A719" t="str">
        <f>Hyperlink("https://www.diodes.com/part/view/DMN62D1SFBW","DMN62D1SFBW")</f>
        <v>DMN62D1SFBW</v>
      </c>
      <c r="B719" t="str">
        <f>Hyperlink("https://www.diodes.com/assets/Datasheets/DMN62D1SFBW.pdf","DMN62D1SFBW Datasheet")</f>
        <v>DMN62D1SFBW Datasheet</v>
      </c>
      <c r="C719" t="s">
        <v>725</v>
      </c>
      <c r="D719" t="s">
        <v>25</v>
      </c>
      <c r="E719" t="s">
        <v>26</v>
      </c>
      <c r="F719" t="s">
        <v>27</v>
      </c>
      <c r="G719" t="s">
        <v>25</v>
      </c>
      <c r="H719">
        <v>60</v>
      </c>
      <c r="I719">
        <v>20</v>
      </c>
      <c r="J719">
        <v>0.538</v>
      </c>
      <c r="L719">
        <v>0.8</v>
      </c>
      <c r="N719">
        <v>1400</v>
      </c>
      <c r="O719">
        <v>1600</v>
      </c>
      <c r="R719">
        <v>1.3</v>
      </c>
      <c r="S719">
        <v>2.3</v>
      </c>
      <c r="T719">
        <v>0.8</v>
      </c>
      <c r="U719">
        <v>1.4</v>
      </c>
      <c r="V719">
        <v>43</v>
      </c>
      <c r="W719">
        <v>40</v>
      </c>
      <c r="X719" t="s">
        <v>741</v>
      </c>
    </row>
    <row r="720" spans="1:24">
      <c r="A720" t="str">
        <f>Hyperlink("https://www.diodes.com/part/view/DMN62D1SFBWQ","DMN62D1SFBWQ")</f>
        <v>DMN62D1SFBWQ</v>
      </c>
      <c r="B720" t="str">
        <f>Hyperlink("https://www.diodes.com/assets/Datasheets/DMN62D1SFBWQ.pdf","DMN62D1SFBWQ Datasheet")</f>
        <v>DMN62D1SFBWQ Datasheet</v>
      </c>
      <c r="C720" t="s">
        <v>725</v>
      </c>
      <c r="D720" t="s">
        <v>25</v>
      </c>
      <c r="E720" t="s">
        <v>33</v>
      </c>
      <c r="F720" t="s">
        <v>27</v>
      </c>
      <c r="G720" t="s">
        <v>25</v>
      </c>
      <c r="H720">
        <v>60</v>
      </c>
      <c r="I720">
        <v>20</v>
      </c>
      <c r="J720">
        <v>0.538</v>
      </c>
      <c r="L720">
        <v>0.8</v>
      </c>
      <c r="N720">
        <v>1400</v>
      </c>
      <c r="O720">
        <v>1600</v>
      </c>
      <c r="R720">
        <v>1.3</v>
      </c>
      <c r="S720">
        <v>2.3</v>
      </c>
      <c r="T720">
        <v>0.8</v>
      </c>
      <c r="U720">
        <v>1.4</v>
      </c>
      <c r="V720">
        <v>43</v>
      </c>
      <c r="W720">
        <v>40</v>
      </c>
      <c r="X720" t="s">
        <v>741</v>
      </c>
    </row>
    <row r="721" spans="1:24">
      <c r="A721" t="str">
        <f>Hyperlink("https://www.diodes.com/part/view/DMN62D2U","DMN62D2U")</f>
        <v>DMN62D2U</v>
      </c>
      <c r="B721" t="str">
        <f>Hyperlink("https://www.diodes.com/assets/Datasheets/DMN62D2U.pdf","DMN62D2U Datasheet")</f>
        <v>DMN62D2U Datasheet</v>
      </c>
      <c r="C721" t="s">
        <v>725</v>
      </c>
      <c r="D721" t="s">
        <v>28</v>
      </c>
      <c r="E721" t="s">
        <v>26</v>
      </c>
      <c r="F721" t="s">
        <v>27</v>
      </c>
      <c r="G721" t="s">
        <v>25</v>
      </c>
      <c r="H721">
        <v>60</v>
      </c>
      <c r="I721">
        <v>20</v>
      </c>
      <c r="J721">
        <v>0.39</v>
      </c>
      <c r="L721">
        <v>0.6</v>
      </c>
      <c r="O721" t="s">
        <v>711</v>
      </c>
      <c r="P721">
        <v>2500</v>
      </c>
      <c r="Q721">
        <v>4000</v>
      </c>
      <c r="R721">
        <v>0.5</v>
      </c>
      <c r="S721">
        <v>1</v>
      </c>
      <c r="T721">
        <v>0.8</v>
      </c>
      <c r="V721">
        <v>41</v>
      </c>
      <c r="W721">
        <v>30</v>
      </c>
      <c r="X721" t="s">
        <v>32</v>
      </c>
    </row>
    <row r="722" spans="1:24">
      <c r="A722" t="str">
        <f>Hyperlink("https://www.diodes.com/part/view/DMN62D2UDM","DMN62D2UDM")</f>
        <v>DMN62D2UDM</v>
      </c>
      <c r="B722" t="str">
        <f>Hyperlink("https://www.diodes.com/assets/Datasheets/DMN62D2UDM.pdf","DMN62D2UDM Datasheet")</f>
        <v>DMN62D2UDM Datasheet</v>
      </c>
      <c r="C722" t="s">
        <v>742</v>
      </c>
      <c r="D722" t="s">
        <v>28</v>
      </c>
      <c r="E722" t="s">
        <v>26</v>
      </c>
      <c r="F722" t="s">
        <v>27</v>
      </c>
      <c r="G722" t="s">
        <v>25</v>
      </c>
      <c r="H722">
        <v>60</v>
      </c>
      <c r="I722">
        <v>20</v>
      </c>
      <c r="J722">
        <v>0.44</v>
      </c>
      <c r="L722">
        <v>0.8</v>
      </c>
      <c r="O722" t="s">
        <v>711</v>
      </c>
      <c r="P722">
        <v>2500</v>
      </c>
      <c r="Q722">
        <v>4000</v>
      </c>
      <c r="R722">
        <v>0.5</v>
      </c>
      <c r="S722">
        <v>1</v>
      </c>
      <c r="T722">
        <v>0.8</v>
      </c>
      <c r="V722">
        <v>41</v>
      </c>
      <c r="W722">
        <v>30</v>
      </c>
      <c r="X722" t="s">
        <v>261</v>
      </c>
    </row>
    <row r="723" spans="1:24">
      <c r="A723" t="str">
        <f>Hyperlink("https://www.diodes.com/part/view/DMN62D2UDMQ","DMN62D2UDMQ")</f>
        <v>DMN62D2UDMQ</v>
      </c>
      <c r="B723" t="str">
        <f>Hyperlink("https://www.diodes.com/assets/Datasheets/DMN62D2UDMQ.pdf","DMN62D2UDMQ Datasheet")</f>
        <v>DMN62D2UDMQ Datasheet</v>
      </c>
      <c r="C723" t="s">
        <v>742</v>
      </c>
      <c r="D723" t="s">
        <v>25</v>
      </c>
      <c r="E723" t="s">
        <v>33</v>
      </c>
      <c r="F723" t="s">
        <v>27</v>
      </c>
      <c r="G723" t="s">
        <v>25</v>
      </c>
      <c r="H723">
        <v>60</v>
      </c>
      <c r="I723">
        <v>20</v>
      </c>
      <c r="J723">
        <v>0.44</v>
      </c>
      <c r="L723">
        <v>0.8</v>
      </c>
      <c r="O723" t="s">
        <v>711</v>
      </c>
      <c r="P723">
        <v>2500</v>
      </c>
      <c r="Q723">
        <v>4000</v>
      </c>
      <c r="R723">
        <v>0.5</v>
      </c>
      <c r="S723">
        <v>1</v>
      </c>
      <c r="T723">
        <v>0.8</v>
      </c>
      <c r="V723">
        <v>41</v>
      </c>
      <c r="W723">
        <v>30</v>
      </c>
      <c r="X723" t="s">
        <v>261</v>
      </c>
    </row>
    <row r="724" spans="1:24">
      <c r="A724" t="str">
        <f>Hyperlink("https://www.diodes.com/part/view/DMN62D2UDW","DMN62D2UDW")</f>
        <v>DMN62D2UDW</v>
      </c>
      <c r="B724" t="str">
        <f>Hyperlink("https://www.diodes.com/assets/Datasheets/DMN62D2UDW.pdf","DMN62D2UDW Datasheet")</f>
        <v>DMN62D2UDW Datasheet</v>
      </c>
      <c r="C724" t="s">
        <v>742</v>
      </c>
      <c r="D724" t="s">
        <v>28</v>
      </c>
      <c r="E724" t="s">
        <v>26</v>
      </c>
      <c r="F724" t="s">
        <v>27</v>
      </c>
      <c r="G724" t="s">
        <v>25</v>
      </c>
      <c r="H724">
        <v>60</v>
      </c>
      <c r="I724">
        <v>20</v>
      </c>
      <c r="J724">
        <v>0.34</v>
      </c>
      <c r="L724">
        <v>0.5</v>
      </c>
      <c r="O724" t="s">
        <v>711</v>
      </c>
      <c r="P724">
        <v>2500</v>
      </c>
      <c r="Q724">
        <v>4000</v>
      </c>
      <c r="R724">
        <v>0.5</v>
      </c>
      <c r="S724">
        <v>1</v>
      </c>
      <c r="T724">
        <v>0.8</v>
      </c>
      <c r="V724">
        <v>41</v>
      </c>
      <c r="W724">
        <v>30</v>
      </c>
      <c r="X724" t="s">
        <v>37</v>
      </c>
    </row>
    <row r="725" spans="1:24">
      <c r="A725" t="str">
        <f>Hyperlink("https://www.diodes.com/part/view/DMN62D2UDWQ","DMN62D2UDWQ")</f>
        <v>DMN62D2UDWQ</v>
      </c>
      <c r="B725" t="str">
        <f>Hyperlink("https://www.diodes.com/assets/Datasheets/DMN62D2UDWQ.pdf","DMN62D2UDWQ Datasheet")</f>
        <v>DMN62D2UDWQ Datasheet</v>
      </c>
      <c r="C725" t="s">
        <v>649</v>
      </c>
      <c r="D725" t="s">
        <v>25</v>
      </c>
      <c r="E725" t="s">
        <v>33</v>
      </c>
      <c r="F725" t="s">
        <v>27</v>
      </c>
      <c r="G725" t="s">
        <v>25</v>
      </c>
      <c r="H725">
        <v>60</v>
      </c>
      <c r="I725">
        <v>20</v>
      </c>
      <c r="J725">
        <v>0.34</v>
      </c>
      <c r="L725">
        <v>0.5</v>
      </c>
      <c r="O725" t="s">
        <v>711</v>
      </c>
      <c r="P725">
        <v>2500</v>
      </c>
      <c r="Q725">
        <v>4000</v>
      </c>
      <c r="R725">
        <v>0.5</v>
      </c>
      <c r="S725">
        <v>1</v>
      </c>
      <c r="T725">
        <v>0.8</v>
      </c>
      <c r="V725">
        <v>41</v>
      </c>
      <c r="W725">
        <v>30</v>
      </c>
      <c r="X725" t="s">
        <v>37</v>
      </c>
    </row>
    <row r="726" spans="1:24">
      <c r="A726" t="str">
        <f>Hyperlink("https://www.diodes.com/part/view/DMN62D2UQ","DMN62D2UQ")</f>
        <v>DMN62D2UQ</v>
      </c>
      <c r="B726" t="str">
        <f>Hyperlink("https://www.diodes.com/assets/Datasheets/DMN62D2UQ.pdf","DMN62D2UQ Datasheet")</f>
        <v>DMN62D2UQ Datasheet</v>
      </c>
      <c r="C726" t="s">
        <v>725</v>
      </c>
      <c r="D726" t="s">
        <v>25</v>
      </c>
      <c r="E726" t="s">
        <v>33</v>
      </c>
      <c r="F726" t="s">
        <v>27</v>
      </c>
      <c r="G726" t="s">
        <v>25</v>
      </c>
      <c r="H726">
        <v>60</v>
      </c>
      <c r="I726">
        <v>20</v>
      </c>
      <c r="J726">
        <v>0.39</v>
      </c>
      <c r="L726">
        <v>0.6</v>
      </c>
      <c r="O726" t="s">
        <v>711</v>
      </c>
      <c r="P726">
        <v>2500</v>
      </c>
      <c r="Q726">
        <v>4000</v>
      </c>
      <c r="R726">
        <v>0.5</v>
      </c>
      <c r="S726">
        <v>1</v>
      </c>
      <c r="T726">
        <v>0.8</v>
      </c>
      <c r="V726">
        <v>41</v>
      </c>
      <c r="W726">
        <v>30</v>
      </c>
      <c r="X726" t="s">
        <v>32</v>
      </c>
    </row>
    <row r="727" spans="1:24">
      <c r="A727" t="str">
        <f>Hyperlink("https://www.diodes.com/part/view/DMN62D2UT","DMN62D2UT")</f>
        <v>DMN62D2UT</v>
      </c>
      <c r="B727" t="str">
        <f>Hyperlink("https://www.diodes.com/assets/Datasheets/DMN62D2UT.pdf","DMN62D2UT Datasheet")</f>
        <v>DMN62D2UT Datasheet</v>
      </c>
      <c r="C727" t="s">
        <v>743</v>
      </c>
      <c r="D727" t="s">
        <v>28</v>
      </c>
      <c r="E727" t="s">
        <v>26</v>
      </c>
      <c r="F727" t="s">
        <v>27</v>
      </c>
      <c r="G727" t="s">
        <v>25</v>
      </c>
      <c r="H727">
        <v>60</v>
      </c>
      <c r="I727">
        <v>20</v>
      </c>
      <c r="J727">
        <v>0.334</v>
      </c>
      <c r="L727">
        <v>0.5</v>
      </c>
      <c r="O727" t="s">
        <v>711</v>
      </c>
      <c r="P727">
        <v>2500</v>
      </c>
      <c r="Q727">
        <v>4000</v>
      </c>
      <c r="R727">
        <v>0.5</v>
      </c>
      <c r="S727">
        <v>1</v>
      </c>
      <c r="T727">
        <v>0.8</v>
      </c>
      <c r="V727">
        <v>41</v>
      </c>
      <c r="W727">
        <v>30</v>
      </c>
      <c r="X727" t="s">
        <v>41</v>
      </c>
    </row>
    <row r="728" spans="1:24">
      <c r="A728" t="str">
        <f>Hyperlink("https://www.diodes.com/part/view/DMN62D2UTQ","DMN62D2UTQ")</f>
        <v>DMN62D2UTQ</v>
      </c>
      <c r="B728" t="str">
        <f>Hyperlink("https://www.diodes.com/assets/Datasheets/DMN62D2UTQ.pdf","DMN62D2UTQ Datasheet")</f>
        <v>DMN62D2UTQ Datasheet</v>
      </c>
      <c r="C728" t="s">
        <v>725</v>
      </c>
      <c r="D728" t="s">
        <v>25</v>
      </c>
      <c r="E728" t="s">
        <v>33</v>
      </c>
      <c r="F728" t="s">
        <v>27</v>
      </c>
      <c r="G728" t="s">
        <v>25</v>
      </c>
      <c r="H728">
        <v>60</v>
      </c>
      <c r="I728">
        <v>20</v>
      </c>
      <c r="J728">
        <v>0.334</v>
      </c>
      <c r="L728">
        <v>0.5</v>
      </c>
      <c r="O728" t="s">
        <v>711</v>
      </c>
      <c r="P728">
        <v>2500</v>
      </c>
      <c r="Q728">
        <v>4000</v>
      </c>
      <c r="R728">
        <v>0.5</v>
      </c>
      <c r="S728">
        <v>1</v>
      </c>
      <c r="T728">
        <v>0.8</v>
      </c>
      <c r="V728">
        <v>41</v>
      </c>
      <c r="W728">
        <v>30</v>
      </c>
      <c r="X728" t="s">
        <v>41</v>
      </c>
    </row>
    <row r="729" spans="1:24">
      <c r="A729" t="str">
        <f>Hyperlink("https://www.diodes.com/part/view/DMN62D2UV","DMN62D2UV")</f>
        <v>DMN62D2UV</v>
      </c>
      <c r="B729" t="str">
        <f>Hyperlink("https://www.diodes.com/assets/Datasheets/DMN62D2UV.pdf","DMN62D2UV Datasheet")</f>
        <v>DMN62D2UV Datasheet</v>
      </c>
      <c r="C729" t="s">
        <v>742</v>
      </c>
      <c r="D729" t="s">
        <v>25</v>
      </c>
      <c r="E729" t="s">
        <v>26</v>
      </c>
      <c r="F729" t="s">
        <v>27</v>
      </c>
      <c r="G729" t="s">
        <v>25</v>
      </c>
      <c r="H729">
        <v>60</v>
      </c>
      <c r="I729">
        <v>20</v>
      </c>
      <c r="J729">
        <v>0.45</v>
      </c>
      <c r="L729">
        <v>0.8</v>
      </c>
      <c r="O729" t="s">
        <v>711</v>
      </c>
      <c r="P729">
        <v>2500</v>
      </c>
      <c r="Q729">
        <v>4000</v>
      </c>
      <c r="R729">
        <v>0.5</v>
      </c>
      <c r="S729">
        <v>1</v>
      </c>
      <c r="T729">
        <v>0.8</v>
      </c>
      <c r="V729">
        <v>41</v>
      </c>
      <c r="W729">
        <v>30</v>
      </c>
      <c r="X729" t="s">
        <v>43</v>
      </c>
    </row>
    <row r="730" spans="1:24">
      <c r="A730" t="str">
        <f>Hyperlink("https://www.diodes.com/part/view/DMN62D2UVQ","DMN62D2UVQ")</f>
        <v>DMN62D2UVQ</v>
      </c>
      <c r="B730" t="str">
        <f>Hyperlink("https://www.diodes.com/assets/Datasheets/DMN62D2UVQ.pdf","DMN62D2UVQ Datasheet")</f>
        <v>DMN62D2UVQ Datasheet</v>
      </c>
      <c r="C730" t="s">
        <v>742</v>
      </c>
      <c r="D730" t="s">
        <v>25</v>
      </c>
      <c r="E730" t="s">
        <v>33</v>
      </c>
      <c r="F730" t="s">
        <v>27</v>
      </c>
      <c r="G730" t="s">
        <v>25</v>
      </c>
      <c r="H730">
        <v>60</v>
      </c>
      <c r="I730">
        <v>20</v>
      </c>
      <c r="J730">
        <v>0.45</v>
      </c>
      <c r="L730">
        <v>0.8</v>
      </c>
      <c r="O730" t="s">
        <v>711</v>
      </c>
      <c r="P730">
        <v>2500</v>
      </c>
      <c r="Q730">
        <v>4000</v>
      </c>
      <c r="R730">
        <v>0.5</v>
      </c>
      <c r="S730">
        <v>1</v>
      </c>
      <c r="T730">
        <v>0.8</v>
      </c>
      <c r="V730">
        <v>41</v>
      </c>
      <c r="W730">
        <v>30</v>
      </c>
      <c r="X730" t="s">
        <v>43</v>
      </c>
    </row>
    <row r="731" spans="1:24">
      <c r="A731" t="str">
        <f>Hyperlink("https://www.diodes.com/part/view/DMN62D2UVT","DMN62D2UVT")</f>
        <v>DMN62D2UVT</v>
      </c>
      <c r="B731" t="str">
        <f>Hyperlink("https://www.diodes.com/assets/Datasheets/DMN62D2UVT.pdf","DMN62D2UVT Datasheet")</f>
        <v>DMN62D2UVT Datasheet</v>
      </c>
      <c r="C731" t="s">
        <v>725</v>
      </c>
      <c r="D731" t="s">
        <v>25</v>
      </c>
      <c r="E731" t="s">
        <v>26</v>
      </c>
      <c r="F731" t="s">
        <v>27</v>
      </c>
      <c r="G731" t="s">
        <v>25</v>
      </c>
      <c r="H731">
        <v>60</v>
      </c>
      <c r="I731">
        <v>20</v>
      </c>
      <c r="J731">
        <v>0.455</v>
      </c>
      <c r="L731">
        <v>0.9</v>
      </c>
      <c r="O731" t="s">
        <v>711</v>
      </c>
      <c r="P731">
        <v>2500</v>
      </c>
      <c r="Q731">
        <v>4000</v>
      </c>
      <c r="R731">
        <v>0.5</v>
      </c>
      <c r="S731">
        <v>1</v>
      </c>
      <c r="T731">
        <v>0.8</v>
      </c>
      <c r="V731">
        <v>41</v>
      </c>
      <c r="W731">
        <v>30</v>
      </c>
      <c r="X731" t="s">
        <v>128</v>
      </c>
    </row>
    <row r="732" spans="1:24">
      <c r="A732" t="str">
        <f>Hyperlink("https://www.diodes.com/part/view/DMN62D2UVTQ","DMN62D2UVTQ")</f>
        <v>DMN62D2UVTQ</v>
      </c>
      <c r="B732" t="str">
        <f>Hyperlink("https://www.diodes.com/assets/Datasheets/DMN62D2UVTQ.pdf","DMN62D2UVTQ Datasheet")</f>
        <v>DMN62D2UVTQ Datasheet</v>
      </c>
      <c r="C732" t="s">
        <v>725</v>
      </c>
      <c r="D732" t="s">
        <v>25</v>
      </c>
      <c r="E732" t="s">
        <v>33</v>
      </c>
      <c r="F732" t="s">
        <v>27</v>
      </c>
      <c r="G732" t="s">
        <v>25</v>
      </c>
      <c r="H732">
        <v>60</v>
      </c>
      <c r="I732">
        <v>20</v>
      </c>
      <c r="J732">
        <v>0.455</v>
      </c>
      <c r="L732">
        <v>0.9</v>
      </c>
      <c r="O732" t="s">
        <v>709</v>
      </c>
      <c r="P732">
        <v>2500</v>
      </c>
      <c r="Q732">
        <v>4000</v>
      </c>
      <c r="R732">
        <v>0.5</v>
      </c>
      <c r="S732">
        <v>1</v>
      </c>
      <c r="T732">
        <v>0.8</v>
      </c>
      <c r="V732">
        <v>41</v>
      </c>
      <c r="W732">
        <v>30</v>
      </c>
      <c r="X732" t="s">
        <v>128</v>
      </c>
    </row>
    <row r="733" spans="1:24">
      <c r="A733" t="str">
        <f>Hyperlink("https://www.diodes.com/part/view/DMN62D2UW","DMN62D2UW")</f>
        <v>DMN62D2UW</v>
      </c>
      <c r="B733" t="str">
        <f>Hyperlink("https://www.diodes.com/assets/Datasheets/DMN62D2UW.pdf","DMN62D2UW Datasheet")</f>
        <v>DMN62D2UW Datasheet</v>
      </c>
      <c r="C733" t="s">
        <v>725</v>
      </c>
      <c r="D733" t="s">
        <v>25</v>
      </c>
      <c r="E733" t="s">
        <v>26</v>
      </c>
      <c r="F733" t="s">
        <v>27</v>
      </c>
      <c r="G733" t="s">
        <v>25</v>
      </c>
      <c r="H733">
        <v>60</v>
      </c>
      <c r="I733">
        <v>20</v>
      </c>
      <c r="J733">
        <v>0.391</v>
      </c>
      <c r="L733">
        <v>0.6</v>
      </c>
      <c r="O733" t="s">
        <v>711</v>
      </c>
      <c r="P733">
        <v>2500</v>
      </c>
      <c r="Q733">
        <v>4000</v>
      </c>
      <c r="R733">
        <v>0.5</v>
      </c>
      <c r="S733">
        <v>1</v>
      </c>
      <c r="T733">
        <v>0.8</v>
      </c>
      <c r="V733">
        <v>41</v>
      </c>
      <c r="W733">
        <v>30</v>
      </c>
      <c r="X733" t="s">
        <v>60</v>
      </c>
    </row>
    <row r="734" spans="1:24">
      <c r="A734" t="str">
        <f>Hyperlink("https://www.diodes.com/part/view/DMN62D2UWQ","DMN62D2UWQ")</f>
        <v>DMN62D2UWQ</v>
      </c>
      <c r="B734" t="str">
        <f>Hyperlink("https://www.diodes.com/assets/Datasheets/DMN62D2UWQ.pdf","DMN62D2UWQ Datasheet")</f>
        <v>DMN62D2UWQ Datasheet</v>
      </c>
      <c r="C734" t="s">
        <v>725</v>
      </c>
      <c r="D734" t="s">
        <v>25</v>
      </c>
      <c r="E734" t="s">
        <v>33</v>
      </c>
      <c r="F734" t="s">
        <v>27</v>
      </c>
      <c r="G734" t="s">
        <v>25</v>
      </c>
      <c r="H734">
        <v>60</v>
      </c>
      <c r="I734">
        <v>20</v>
      </c>
      <c r="J734">
        <v>0.391</v>
      </c>
      <c r="L734">
        <v>0.6</v>
      </c>
      <c r="O734" t="s">
        <v>711</v>
      </c>
      <c r="P734">
        <v>2500</v>
      </c>
      <c r="Q734">
        <v>4000</v>
      </c>
      <c r="R734">
        <v>0.5</v>
      </c>
      <c r="S734">
        <v>1</v>
      </c>
      <c r="T734">
        <v>0.8</v>
      </c>
      <c r="V734">
        <v>41</v>
      </c>
      <c r="W734">
        <v>30</v>
      </c>
      <c r="X734" t="s">
        <v>60</v>
      </c>
    </row>
    <row r="735" spans="1:24">
      <c r="A735" t="str">
        <f>Hyperlink("https://www.diodes.com/part/view/DMN62D4LDW","DMN62D4LDW")</f>
        <v>DMN62D4LDW</v>
      </c>
      <c r="B735" t="str">
        <f>Hyperlink("https://www.diodes.com/assets/Datasheets/DMN62D4LDW.pdf","DMN62D4LDW Datasheet")</f>
        <v>DMN62D4LDW Datasheet</v>
      </c>
      <c r="C735" t="s">
        <v>34</v>
      </c>
      <c r="D735" t="s">
        <v>28</v>
      </c>
      <c r="E735" t="s">
        <v>26</v>
      </c>
      <c r="F735" t="s">
        <v>35</v>
      </c>
      <c r="G735" t="s">
        <v>28</v>
      </c>
      <c r="H735">
        <v>60</v>
      </c>
      <c r="I735">
        <v>20</v>
      </c>
      <c r="J735">
        <v>0.261</v>
      </c>
      <c r="L735">
        <v>0.45</v>
      </c>
      <c r="N735">
        <v>3000</v>
      </c>
      <c r="O735">
        <v>4000</v>
      </c>
      <c r="S735">
        <v>2</v>
      </c>
      <c r="T735">
        <v>0.51</v>
      </c>
      <c r="U735">
        <v>1.04</v>
      </c>
      <c r="V735">
        <v>41</v>
      </c>
      <c r="W735">
        <v>25</v>
      </c>
      <c r="X735" t="s">
        <v>37</v>
      </c>
    </row>
    <row r="736" spans="1:24">
      <c r="A736" t="str">
        <f>Hyperlink("https://www.diodes.com/part/view/DMN62D4LFB","DMN62D4LFB")</f>
        <v>DMN62D4LFB</v>
      </c>
      <c r="B736" t="str">
        <f>Hyperlink("https://www.diodes.com/assets/Datasheets/DMN62D4LFB.pdf","DMN62D4LFB Datasheet")</f>
        <v>DMN62D4LFB Datasheet</v>
      </c>
      <c r="C736" t="s">
        <v>24</v>
      </c>
      <c r="D736" t="s">
        <v>28</v>
      </c>
      <c r="E736" t="s">
        <v>26</v>
      </c>
      <c r="F736" t="s">
        <v>27</v>
      </c>
      <c r="G736" t="s">
        <v>25</v>
      </c>
      <c r="H736">
        <v>65</v>
      </c>
      <c r="I736">
        <v>20</v>
      </c>
      <c r="J736">
        <v>0.407</v>
      </c>
      <c r="L736">
        <v>0.5</v>
      </c>
      <c r="N736">
        <v>2000</v>
      </c>
      <c r="O736" t="s">
        <v>744</v>
      </c>
      <c r="S736">
        <v>2.5</v>
      </c>
      <c r="T736">
        <v>0.6</v>
      </c>
      <c r="U736">
        <v>1.1</v>
      </c>
      <c r="V736">
        <v>40</v>
      </c>
      <c r="W736">
        <v>30</v>
      </c>
      <c r="X736" t="s">
        <v>592</v>
      </c>
    </row>
    <row r="737" spans="1:24">
      <c r="A737" t="str">
        <f>Hyperlink("https://www.diodes.com/part/view/DMN63D1L","DMN63D1L")</f>
        <v>DMN63D1L</v>
      </c>
      <c r="B737" t="str">
        <f>Hyperlink("https://www.diodes.com/assets/Datasheets/DMN63D1L.pdf","DMN63D1L Datasheet")</f>
        <v>DMN63D1L Datasheet</v>
      </c>
      <c r="C737" t="s">
        <v>24</v>
      </c>
      <c r="D737" t="s">
        <v>25</v>
      </c>
      <c r="E737" t="s">
        <v>26</v>
      </c>
      <c r="F737" t="s">
        <v>27</v>
      </c>
      <c r="G737" t="s">
        <v>25</v>
      </c>
      <c r="H737">
        <v>60</v>
      </c>
      <c r="I737">
        <v>20</v>
      </c>
      <c r="J737">
        <v>0.38</v>
      </c>
      <c r="L737">
        <v>0.56</v>
      </c>
      <c r="N737">
        <v>2000</v>
      </c>
      <c r="O737" t="s">
        <v>719</v>
      </c>
      <c r="S737">
        <v>2.5</v>
      </c>
      <c r="T737">
        <v>0.3</v>
      </c>
      <c r="V737">
        <v>30</v>
      </c>
      <c r="W737">
        <v>25</v>
      </c>
      <c r="X737" t="s">
        <v>32</v>
      </c>
    </row>
    <row r="738" spans="1:24">
      <c r="A738" t="str">
        <f>Hyperlink("https://www.diodes.com/part/view/DMN63D1LDW","DMN63D1LDW")</f>
        <v>DMN63D1LDW</v>
      </c>
      <c r="B738" t="str">
        <f>Hyperlink("https://www.diodes.com/assets/Datasheets/DMN63D1LDW.pdf","DMN63D1LDW Datasheet")</f>
        <v>DMN63D1LDW Datasheet</v>
      </c>
      <c r="C738" t="s">
        <v>34</v>
      </c>
      <c r="D738" t="s">
        <v>25</v>
      </c>
      <c r="E738" t="s">
        <v>26</v>
      </c>
      <c r="F738" t="s">
        <v>35</v>
      </c>
      <c r="G738" t="s">
        <v>25</v>
      </c>
      <c r="H738">
        <v>60</v>
      </c>
      <c r="I738">
        <v>20</v>
      </c>
      <c r="J738">
        <v>0.25</v>
      </c>
      <c r="L738">
        <v>0.39</v>
      </c>
      <c r="N738">
        <v>2000</v>
      </c>
      <c r="O738" t="s">
        <v>719</v>
      </c>
      <c r="S738">
        <v>2.5</v>
      </c>
      <c r="T738">
        <v>0.3</v>
      </c>
      <c r="V738">
        <v>30</v>
      </c>
      <c r="W738">
        <v>25</v>
      </c>
      <c r="X738" t="s">
        <v>37</v>
      </c>
    </row>
    <row r="739" spans="1:24">
      <c r="A739" t="str">
        <f>Hyperlink("https://www.diodes.com/part/view/DMN63D1LT","DMN63D1LT")</f>
        <v>DMN63D1LT</v>
      </c>
      <c r="B739" t="str">
        <f>Hyperlink("https://www.diodes.com/assets/Datasheets/DMN63D1LT.pdf","DMN63D1LT Datasheet")</f>
        <v>DMN63D1LT Datasheet</v>
      </c>
      <c r="C739" t="s">
        <v>40</v>
      </c>
      <c r="D739" t="s">
        <v>28</v>
      </c>
      <c r="E739" t="s">
        <v>26</v>
      </c>
      <c r="F739" t="s">
        <v>27</v>
      </c>
      <c r="G739" t="s">
        <v>25</v>
      </c>
      <c r="H739">
        <v>60</v>
      </c>
      <c r="I739">
        <v>20</v>
      </c>
      <c r="J739">
        <v>0.32</v>
      </c>
      <c r="L739">
        <v>0.33</v>
      </c>
      <c r="N739">
        <v>2000</v>
      </c>
      <c r="O739" t="s">
        <v>719</v>
      </c>
      <c r="S739">
        <v>2.5</v>
      </c>
      <c r="T739">
        <v>0.392</v>
      </c>
      <c r="V739">
        <v>30</v>
      </c>
      <c r="W739">
        <v>25</v>
      </c>
      <c r="X739" t="s">
        <v>41</v>
      </c>
    </row>
    <row r="740" spans="1:24">
      <c r="A740" t="str">
        <f>Hyperlink("https://www.diodes.com/part/view/DMN63D1LV","DMN63D1LV")</f>
        <v>DMN63D1LV</v>
      </c>
      <c r="B740" t="str">
        <f>Hyperlink("https://www.diodes.com/assets/Datasheets/DMN63D1LV.pdf","DMN63D1LV Datasheet")</f>
        <v>DMN63D1LV Datasheet</v>
      </c>
      <c r="C740" t="s">
        <v>34</v>
      </c>
      <c r="D740" t="s">
        <v>28</v>
      </c>
      <c r="E740" t="s">
        <v>26</v>
      </c>
      <c r="F740" t="s">
        <v>35</v>
      </c>
      <c r="G740" t="s">
        <v>25</v>
      </c>
      <c r="H740">
        <v>60</v>
      </c>
      <c r="I740">
        <v>20</v>
      </c>
      <c r="J740">
        <v>0.55</v>
      </c>
      <c r="L740">
        <v>0.94</v>
      </c>
      <c r="N740">
        <v>2000</v>
      </c>
      <c r="O740" t="s">
        <v>719</v>
      </c>
      <c r="S740">
        <v>2.5</v>
      </c>
      <c r="T740">
        <v>0.392</v>
      </c>
      <c r="V740">
        <v>30</v>
      </c>
      <c r="W740">
        <v>25</v>
      </c>
      <c r="X740" t="s">
        <v>43</v>
      </c>
    </row>
    <row r="741" spans="1:24">
      <c r="A741" t="str">
        <f>Hyperlink("https://www.diodes.com/part/view/DMN63D1LVQ","DMN63D1LVQ")</f>
        <v>DMN63D1LVQ</v>
      </c>
      <c r="B741" t="str">
        <f>Hyperlink("https://www.diodes.com/assets/Datasheets/DMN63D1LVQ.pdf","DMN63D1LVQ Datasheet")</f>
        <v>DMN63D1LVQ Datasheet</v>
      </c>
      <c r="C741" t="s">
        <v>649</v>
      </c>
      <c r="D741" t="s">
        <v>25</v>
      </c>
      <c r="E741" t="s">
        <v>33</v>
      </c>
      <c r="F741" t="s">
        <v>35</v>
      </c>
      <c r="G741" t="s">
        <v>25</v>
      </c>
      <c r="H741">
        <v>60</v>
      </c>
      <c r="I741">
        <v>20</v>
      </c>
      <c r="J741">
        <v>0.477</v>
      </c>
      <c r="L741">
        <v>0.94</v>
      </c>
      <c r="N741">
        <v>2000</v>
      </c>
      <c r="O741" t="s">
        <v>726</v>
      </c>
      <c r="R741">
        <v>1</v>
      </c>
      <c r="S741">
        <v>2.5</v>
      </c>
      <c r="T741">
        <v>0.51</v>
      </c>
      <c r="U741">
        <v>1.04</v>
      </c>
      <c r="V741">
        <v>41</v>
      </c>
      <c r="W741">
        <v>30</v>
      </c>
      <c r="X741" t="s">
        <v>43</v>
      </c>
    </row>
    <row r="742" spans="1:24">
      <c r="A742" t="str">
        <f>Hyperlink("https://www.diodes.com/part/view/DMN63D1LW","DMN63D1LW")</f>
        <v>DMN63D1LW</v>
      </c>
      <c r="B742" t="str">
        <f>Hyperlink("https://www.diodes.com/assets/Datasheets/DMN63D1LW.pdf","DMN63D1LW Datasheet")</f>
        <v>DMN63D1LW Datasheet</v>
      </c>
      <c r="C742" t="s">
        <v>721</v>
      </c>
      <c r="D742" t="s">
        <v>25</v>
      </c>
      <c r="E742" t="s">
        <v>26</v>
      </c>
      <c r="F742" t="s">
        <v>27</v>
      </c>
      <c r="G742" t="s">
        <v>25</v>
      </c>
      <c r="H742">
        <v>60</v>
      </c>
      <c r="I742">
        <v>20</v>
      </c>
      <c r="J742">
        <v>0.38</v>
      </c>
      <c r="L742">
        <v>0.41</v>
      </c>
      <c r="N742">
        <v>2000</v>
      </c>
      <c r="O742" t="s">
        <v>719</v>
      </c>
      <c r="S742">
        <v>2.5</v>
      </c>
      <c r="T742">
        <v>0.3</v>
      </c>
      <c r="V742">
        <v>30</v>
      </c>
      <c r="W742">
        <v>25</v>
      </c>
      <c r="X742" t="s">
        <v>60</v>
      </c>
    </row>
    <row r="743" spans="1:24">
      <c r="A743" t="str">
        <f>Hyperlink("https://www.diodes.com/part/view/DMN63D8L","DMN63D8L")</f>
        <v>DMN63D8L</v>
      </c>
      <c r="B743" t="str">
        <f>Hyperlink("https://www.diodes.com/assets/Datasheets/DMN63D8L.pdf","DMN63D8L Datasheet")</f>
        <v>DMN63D8L Datasheet</v>
      </c>
      <c r="C743" t="s">
        <v>24</v>
      </c>
      <c r="D743" t="s">
        <v>25</v>
      </c>
      <c r="E743" t="s">
        <v>26</v>
      </c>
      <c r="F743" t="s">
        <v>27</v>
      </c>
      <c r="G743" t="s">
        <v>25</v>
      </c>
      <c r="H743">
        <v>30</v>
      </c>
      <c r="I743">
        <v>20</v>
      </c>
      <c r="J743">
        <v>0.35</v>
      </c>
      <c r="L743">
        <v>0.52</v>
      </c>
      <c r="N743">
        <v>2800</v>
      </c>
      <c r="O743">
        <v>4200</v>
      </c>
      <c r="P743">
        <v>13000</v>
      </c>
      <c r="S743">
        <v>1.5</v>
      </c>
      <c r="T743">
        <v>0.4</v>
      </c>
      <c r="U743">
        <v>0.9</v>
      </c>
      <c r="V743">
        <v>22</v>
      </c>
      <c r="W743">
        <v>25</v>
      </c>
      <c r="X743" t="s">
        <v>32</v>
      </c>
    </row>
    <row r="744" spans="1:24">
      <c r="A744" t="str">
        <f>Hyperlink("https://www.diodes.com/part/view/DMN63D8LDW","DMN63D8LDW")</f>
        <v>DMN63D8LDW</v>
      </c>
      <c r="B744" t="str">
        <f>Hyperlink("https://www.diodes.com/assets/Datasheets/DMN63D8LDW.pdf","DMN63D8LDW Datasheet")</f>
        <v>DMN63D8LDW Datasheet</v>
      </c>
      <c r="C744" t="s">
        <v>34</v>
      </c>
      <c r="D744" t="s">
        <v>25</v>
      </c>
      <c r="E744" t="s">
        <v>26</v>
      </c>
      <c r="F744" t="s">
        <v>35</v>
      </c>
      <c r="G744" t="s">
        <v>25</v>
      </c>
      <c r="H744">
        <v>30</v>
      </c>
      <c r="I744">
        <v>20</v>
      </c>
      <c r="J744">
        <v>0.26</v>
      </c>
      <c r="L744">
        <v>0.4</v>
      </c>
      <c r="N744">
        <v>2800</v>
      </c>
      <c r="O744">
        <v>4200</v>
      </c>
      <c r="P744">
        <v>13000</v>
      </c>
      <c r="R744">
        <v>0.8</v>
      </c>
      <c r="S744">
        <v>1.5</v>
      </c>
      <c r="T744">
        <v>0.43</v>
      </c>
      <c r="U744">
        <v>0.87</v>
      </c>
      <c r="V744">
        <v>22</v>
      </c>
      <c r="W744">
        <v>25</v>
      </c>
      <c r="X744" t="s">
        <v>37</v>
      </c>
    </row>
    <row r="745" spans="1:24">
      <c r="A745" t="str">
        <f>Hyperlink("https://www.diodes.com/part/view/DMN63D8LV","DMN63D8LV")</f>
        <v>DMN63D8LV</v>
      </c>
      <c r="B745" t="str">
        <f>Hyperlink("https://www.diodes.com/assets/Datasheets/DMN63D8LV.pdf","DMN63D8LV Datasheet")</f>
        <v>DMN63D8LV Datasheet</v>
      </c>
      <c r="C745" t="s">
        <v>34</v>
      </c>
      <c r="D745" t="s">
        <v>25</v>
      </c>
      <c r="E745" t="s">
        <v>26</v>
      </c>
      <c r="F745" t="s">
        <v>35</v>
      </c>
      <c r="G745" t="s">
        <v>25</v>
      </c>
      <c r="H745">
        <v>30</v>
      </c>
      <c r="I745">
        <v>20</v>
      </c>
      <c r="J745">
        <v>0.26</v>
      </c>
      <c r="L745">
        <v>0.45</v>
      </c>
      <c r="N745">
        <v>2800</v>
      </c>
      <c r="O745">
        <v>4200</v>
      </c>
      <c r="P745">
        <v>13000</v>
      </c>
      <c r="S745">
        <v>1.5</v>
      </c>
      <c r="T745">
        <v>0.43</v>
      </c>
      <c r="U745">
        <v>0.87</v>
      </c>
      <c r="V745">
        <v>22</v>
      </c>
      <c r="X745" t="s">
        <v>43</v>
      </c>
    </row>
    <row r="746" spans="1:24">
      <c r="A746" t="str">
        <f>Hyperlink("https://www.diodes.com/part/view/DMN63D8LW","DMN63D8LW")</f>
        <v>DMN63D8LW</v>
      </c>
      <c r="B746" t="str">
        <f>Hyperlink("https://www.diodes.com/assets/Datasheets/DMN63D8LW.pdf","DMN63D8LW Datasheet")</f>
        <v>DMN63D8LW Datasheet</v>
      </c>
      <c r="C746" t="s">
        <v>24</v>
      </c>
      <c r="D746" t="s">
        <v>25</v>
      </c>
      <c r="E746" t="s">
        <v>26</v>
      </c>
      <c r="F746" t="s">
        <v>27</v>
      </c>
      <c r="G746" t="s">
        <v>25</v>
      </c>
      <c r="H746">
        <v>30</v>
      </c>
      <c r="I746">
        <v>20</v>
      </c>
      <c r="J746">
        <v>0.35</v>
      </c>
      <c r="L746">
        <v>0.42</v>
      </c>
      <c r="N746">
        <v>2800</v>
      </c>
      <c r="O746">
        <v>4200</v>
      </c>
      <c r="P746">
        <v>13000</v>
      </c>
      <c r="S746">
        <v>1.5</v>
      </c>
      <c r="T746">
        <v>0.4</v>
      </c>
      <c r="U746">
        <v>0.9</v>
      </c>
      <c r="V746">
        <v>22</v>
      </c>
      <c r="X746" t="s">
        <v>60</v>
      </c>
    </row>
    <row r="747" spans="1:24">
      <c r="A747" t="str">
        <f>Hyperlink("https://www.diodes.com/part/view/DMN65D7LFR4","DMN65D7LFR4")</f>
        <v>DMN65D7LFR4</v>
      </c>
      <c r="B747" t="str">
        <f>Hyperlink("https://www.diodes.com/assets/Datasheets/DMN65D7LFR4.pdf","DMN65D7LFR4 Datasheet")</f>
        <v>DMN65D7LFR4 Datasheet</v>
      </c>
      <c r="C747" t="s">
        <v>24</v>
      </c>
      <c r="D747" t="s">
        <v>28</v>
      </c>
      <c r="E747" t="s">
        <v>26</v>
      </c>
      <c r="F747" t="s">
        <v>27</v>
      </c>
      <c r="G747" t="s">
        <v>25</v>
      </c>
      <c r="H747">
        <v>60</v>
      </c>
      <c r="I747">
        <v>20</v>
      </c>
      <c r="J747">
        <v>0.26</v>
      </c>
      <c r="K747">
        <v>0.7</v>
      </c>
      <c r="N747">
        <v>5000</v>
      </c>
      <c r="O747">
        <v>5300</v>
      </c>
      <c r="R747">
        <v>1</v>
      </c>
      <c r="S747">
        <v>2.5</v>
      </c>
      <c r="T747">
        <v>0.51</v>
      </c>
      <c r="U747">
        <v>1.04</v>
      </c>
      <c r="V747">
        <v>41</v>
      </c>
      <c r="W747">
        <v>30</v>
      </c>
      <c r="X747" t="s">
        <v>745</v>
      </c>
    </row>
    <row r="748" spans="1:24">
      <c r="A748" t="str">
        <f>Hyperlink("https://www.diodes.com/part/view/DMN65D8L","DMN65D8L")</f>
        <v>DMN65D8L</v>
      </c>
      <c r="B748" t="str">
        <f>Hyperlink("https://www.diodes.com/assets/Datasheets/DMN65D8L.pdf","DMN65D8L Datasheet")</f>
        <v>DMN65D8L Datasheet</v>
      </c>
      <c r="C748" t="s">
        <v>24</v>
      </c>
      <c r="D748" t="s">
        <v>25</v>
      </c>
      <c r="E748" t="s">
        <v>26</v>
      </c>
      <c r="F748" t="s">
        <v>27</v>
      </c>
      <c r="G748" t="s">
        <v>25</v>
      </c>
      <c r="H748">
        <v>60</v>
      </c>
      <c r="I748">
        <v>20</v>
      </c>
      <c r="J748">
        <v>0.31</v>
      </c>
      <c r="L748">
        <v>0.54</v>
      </c>
      <c r="N748">
        <v>3000</v>
      </c>
      <c r="O748" t="s">
        <v>746</v>
      </c>
      <c r="S748">
        <v>2</v>
      </c>
      <c r="T748">
        <v>0.43</v>
      </c>
      <c r="U748">
        <v>0.87</v>
      </c>
      <c r="V748" t="s">
        <v>29</v>
      </c>
      <c r="X748" t="s">
        <v>30</v>
      </c>
    </row>
    <row r="749" spans="1:24">
      <c r="A749" t="str">
        <f>Hyperlink("https://www.diodes.com/part/view/DMN65D8LDW","DMN65D8LDW")</f>
        <v>DMN65D8LDW</v>
      </c>
      <c r="B749" t="str">
        <f>Hyperlink("https://www.diodes.com/assets/Datasheets/DMN65D8LDW.pdf","DMN65D8LDW Datasheet")</f>
        <v>DMN65D8LDW Datasheet</v>
      </c>
      <c r="C749" t="s">
        <v>34</v>
      </c>
      <c r="D749" t="s">
        <v>25</v>
      </c>
      <c r="E749" t="s">
        <v>26</v>
      </c>
      <c r="F749" t="s">
        <v>35</v>
      </c>
      <c r="G749" t="s">
        <v>25</v>
      </c>
      <c r="H749">
        <v>60</v>
      </c>
      <c r="I749">
        <v>20</v>
      </c>
      <c r="J749">
        <v>0.2</v>
      </c>
      <c r="L749">
        <v>0.4</v>
      </c>
      <c r="N749">
        <v>6000</v>
      </c>
      <c r="O749" t="s">
        <v>747</v>
      </c>
      <c r="S749">
        <v>2</v>
      </c>
      <c r="T749">
        <v>0.43</v>
      </c>
      <c r="U749">
        <v>0.87</v>
      </c>
      <c r="V749" t="s">
        <v>29</v>
      </c>
      <c r="X749" t="s">
        <v>66</v>
      </c>
    </row>
    <row r="750" spans="1:24">
      <c r="A750" t="str">
        <f>Hyperlink("https://www.diodes.com/part/view/DMN65D8LDWQ","DMN65D8LDWQ")</f>
        <v>DMN65D8LDWQ</v>
      </c>
      <c r="B750" t="str">
        <f>Hyperlink("https://www.diodes.com/assets/Datasheets/DMN65D8LDWQ.pdf","DMN65D8LDWQ Datasheet")</f>
        <v>DMN65D8LDWQ Datasheet</v>
      </c>
      <c r="C750" t="s">
        <v>34</v>
      </c>
      <c r="D750" t="s">
        <v>25</v>
      </c>
      <c r="E750" t="s">
        <v>33</v>
      </c>
      <c r="F750" t="s">
        <v>35</v>
      </c>
      <c r="G750" t="s">
        <v>25</v>
      </c>
      <c r="H750">
        <v>60</v>
      </c>
      <c r="I750">
        <v>20</v>
      </c>
      <c r="J750">
        <v>0.2</v>
      </c>
      <c r="L750">
        <v>0.4</v>
      </c>
      <c r="N750">
        <v>6000</v>
      </c>
      <c r="O750" t="s">
        <v>747</v>
      </c>
      <c r="S750">
        <v>2</v>
      </c>
      <c r="T750">
        <v>0.43</v>
      </c>
      <c r="U750">
        <v>0.87</v>
      </c>
      <c r="V750">
        <v>22</v>
      </c>
      <c r="W750">
        <v>25</v>
      </c>
      <c r="X750" t="s">
        <v>37</v>
      </c>
    </row>
    <row r="751" spans="1:24">
      <c r="A751" t="str">
        <f>Hyperlink("https://www.diodes.com/part/view/DMN65D8LFB","DMN65D8LFB")</f>
        <v>DMN65D8LFB</v>
      </c>
      <c r="B751" t="str">
        <f>Hyperlink("https://www.diodes.com/assets/Datasheets/DMN65D8LFB.pdf","DMN65D8LFB Datasheet")</f>
        <v>DMN65D8LFB Datasheet</v>
      </c>
      <c r="C751" t="s">
        <v>721</v>
      </c>
      <c r="D751" t="s">
        <v>25</v>
      </c>
      <c r="E751" t="s">
        <v>26</v>
      </c>
      <c r="F751" t="s">
        <v>27</v>
      </c>
      <c r="G751" t="s">
        <v>25</v>
      </c>
      <c r="H751">
        <v>60</v>
      </c>
      <c r="I751">
        <v>20</v>
      </c>
      <c r="J751">
        <v>0.4</v>
      </c>
      <c r="L751">
        <v>0.84</v>
      </c>
      <c r="N751">
        <v>3000</v>
      </c>
      <c r="O751" t="s">
        <v>746</v>
      </c>
      <c r="S751">
        <v>2</v>
      </c>
      <c r="V751" t="s">
        <v>748</v>
      </c>
      <c r="X751" t="s">
        <v>592</v>
      </c>
    </row>
    <row r="752" spans="1:24">
      <c r="A752" t="str">
        <f>Hyperlink("https://www.diodes.com/part/view/DMN65D8LQ","DMN65D8LQ")</f>
        <v>DMN65D8LQ</v>
      </c>
      <c r="B752" t="str">
        <f>Hyperlink("https://www.diodes.com/assets/Datasheets/DMN65D8LQ.pdf","DMN65D8LQ Datasheet")</f>
        <v>DMN65D8LQ Datasheet</v>
      </c>
      <c r="C752" t="s">
        <v>24</v>
      </c>
      <c r="D752" t="s">
        <v>25</v>
      </c>
      <c r="E752" t="s">
        <v>33</v>
      </c>
      <c r="F752" t="s">
        <v>27</v>
      </c>
      <c r="G752" t="s">
        <v>25</v>
      </c>
      <c r="H752">
        <v>60</v>
      </c>
      <c r="I752">
        <v>20</v>
      </c>
      <c r="J752">
        <v>0.31</v>
      </c>
      <c r="L752">
        <v>0.54</v>
      </c>
      <c r="N752">
        <v>3000</v>
      </c>
      <c r="O752" t="s">
        <v>746</v>
      </c>
      <c r="S752">
        <v>2</v>
      </c>
      <c r="T752">
        <v>0.43</v>
      </c>
      <c r="U752">
        <v>0.87</v>
      </c>
      <c r="V752">
        <v>22</v>
      </c>
      <c r="X752" t="s">
        <v>32</v>
      </c>
    </row>
    <row r="753" spans="1:24">
      <c r="A753" t="str">
        <f>Hyperlink("https://www.diodes.com/part/view/DMN65D8LT","DMN65D8LT")</f>
        <v>DMN65D8LT</v>
      </c>
      <c r="B753" t="str">
        <f>Hyperlink("https://www.diodes.com/assets/Datasheets/DMN65D8LT.pdf","DMN65D8LT Datasheet")</f>
        <v>DMN65D8LT Datasheet</v>
      </c>
      <c r="C753" t="s">
        <v>24</v>
      </c>
      <c r="D753" t="s">
        <v>28</v>
      </c>
      <c r="E753" t="s">
        <v>26</v>
      </c>
      <c r="F753" t="s">
        <v>27</v>
      </c>
      <c r="G753" t="s">
        <v>25</v>
      </c>
      <c r="H753">
        <v>60</v>
      </c>
      <c r="I753">
        <v>20</v>
      </c>
      <c r="J753">
        <v>0.21</v>
      </c>
      <c r="L753">
        <v>0.3</v>
      </c>
      <c r="N753">
        <v>5000</v>
      </c>
      <c r="S753">
        <v>2</v>
      </c>
      <c r="T753">
        <v>0.4</v>
      </c>
      <c r="V753">
        <v>24</v>
      </c>
      <c r="W753">
        <v>25</v>
      </c>
      <c r="X753" t="s">
        <v>41</v>
      </c>
    </row>
    <row r="754" spans="1:24">
      <c r="A754" t="str">
        <f>Hyperlink("https://www.diodes.com/part/view/DMN65D8LW","DMN65D8LW")</f>
        <v>DMN65D8LW</v>
      </c>
      <c r="B754" t="str">
        <f>Hyperlink("https://www.diodes.com/assets/Datasheets/DMN65D8LW.pdf","DMN65D8LW Datasheet")</f>
        <v>DMN65D8LW Datasheet</v>
      </c>
      <c r="C754" t="s">
        <v>24</v>
      </c>
      <c r="D754" t="s">
        <v>25</v>
      </c>
      <c r="E754" t="s">
        <v>26</v>
      </c>
      <c r="F754" t="s">
        <v>27</v>
      </c>
      <c r="G754" t="s">
        <v>25</v>
      </c>
      <c r="H754">
        <v>60</v>
      </c>
      <c r="I754">
        <v>20</v>
      </c>
      <c r="J754">
        <v>0.3</v>
      </c>
      <c r="L754">
        <v>0.43</v>
      </c>
      <c r="N754">
        <v>3000</v>
      </c>
      <c r="O754" t="s">
        <v>746</v>
      </c>
      <c r="S754">
        <v>2</v>
      </c>
      <c r="T754">
        <v>0.43</v>
      </c>
      <c r="U754">
        <v>0.87</v>
      </c>
      <c r="V754" t="s">
        <v>29</v>
      </c>
      <c r="X754" t="s">
        <v>44</v>
      </c>
    </row>
    <row r="755" spans="1:24">
      <c r="A755" t="str">
        <f>Hyperlink("https://www.diodes.com/part/view/DMN65D9L","DMN65D9L")</f>
        <v>DMN65D9L</v>
      </c>
      <c r="B755" t="str">
        <f>Hyperlink("https://www.diodes.com/assets/Datasheets/DMN65D9L.pdf","DMN65D9L Datasheet")</f>
        <v>DMN65D9L Datasheet</v>
      </c>
      <c r="C755" t="s">
        <v>24</v>
      </c>
      <c r="D755" t="s">
        <v>28</v>
      </c>
      <c r="E755" t="s">
        <v>26</v>
      </c>
      <c r="F755" t="s">
        <v>27</v>
      </c>
      <c r="G755" t="s">
        <v>25</v>
      </c>
      <c r="H755">
        <v>60</v>
      </c>
      <c r="I755">
        <v>16</v>
      </c>
      <c r="J755">
        <v>0.335</v>
      </c>
      <c r="L755">
        <v>0.67</v>
      </c>
      <c r="N755">
        <v>4000</v>
      </c>
      <c r="O755" t="s">
        <v>749</v>
      </c>
      <c r="S755">
        <v>2.5</v>
      </c>
      <c r="T755">
        <v>0.4</v>
      </c>
      <c r="V755">
        <v>41</v>
      </c>
      <c r="W755">
        <v>25</v>
      </c>
      <c r="X755" t="s">
        <v>32</v>
      </c>
    </row>
    <row r="756" spans="1:24">
      <c r="A756" t="str">
        <f>Hyperlink("https://www.diodes.com/part/view/DMN66D0LDW","DMN66D0LDW")</f>
        <v>DMN66D0LDW</v>
      </c>
      <c r="B756" t="str">
        <f>Hyperlink("https://www.diodes.com/assets/Datasheets/DMN66D0LDW.pdf","DMN66D0LDW Datasheet")</f>
        <v>DMN66D0LDW Datasheet</v>
      </c>
      <c r="C756" t="s">
        <v>34</v>
      </c>
      <c r="D756" t="s">
        <v>25</v>
      </c>
      <c r="E756" t="s">
        <v>26</v>
      </c>
      <c r="F756" t="s">
        <v>35</v>
      </c>
      <c r="G756" t="s">
        <v>25</v>
      </c>
      <c r="H756">
        <v>60</v>
      </c>
      <c r="I756">
        <v>20</v>
      </c>
      <c r="J756">
        <v>0.115</v>
      </c>
      <c r="L756">
        <v>0.25</v>
      </c>
      <c r="N756">
        <v>5000</v>
      </c>
      <c r="O756" t="s">
        <v>750</v>
      </c>
      <c r="S756">
        <v>2</v>
      </c>
      <c r="V756" t="s">
        <v>31</v>
      </c>
      <c r="X756" t="s">
        <v>66</v>
      </c>
    </row>
    <row r="757" spans="1:24">
      <c r="A757" t="str">
        <f>Hyperlink("https://www.diodes.com/part/view/DMN66D0LDWQ","DMN66D0LDWQ")</f>
        <v>DMN66D0LDWQ</v>
      </c>
      <c r="B757" t="str">
        <f>Hyperlink("https://www.diodes.com/assets/Datasheets/DMN66D0LDWQ.pdf","DMN66D0LDWQ Datasheet")</f>
        <v>DMN66D0LDWQ Datasheet</v>
      </c>
      <c r="C757" t="s">
        <v>34</v>
      </c>
      <c r="D757" t="s">
        <v>25</v>
      </c>
      <c r="E757" t="s">
        <v>33</v>
      </c>
      <c r="F757" t="s">
        <v>35</v>
      </c>
      <c r="G757" t="s">
        <v>25</v>
      </c>
      <c r="H757">
        <v>60</v>
      </c>
      <c r="I757">
        <v>20</v>
      </c>
      <c r="J757">
        <v>0.217</v>
      </c>
      <c r="L757">
        <v>0.47</v>
      </c>
      <c r="N757">
        <v>5000</v>
      </c>
      <c r="O757" t="s">
        <v>750</v>
      </c>
      <c r="S757">
        <v>2</v>
      </c>
      <c r="T757">
        <v>0.5</v>
      </c>
      <c r="U757">
        <v>0.9</v>
      </c>
      <c r="V757">
        <v>29.3</v>
      </c>
      <c r="W757">
        <v>25</v>
      </c>
      <c r="X757" t="s">
        <v>37</v>
      </c>
    </row>
    <row r="758" spans="1:24">
      <c r="A758" t="str">
        <f>Hyperlink("https://www.diodes.com/part/view/DMN66D0LT","DMN66D0LT")</f>
        <v>DMN66D0LT</v>
      </c>
      <c r="B758" t="str">
        <f>Hyperlink("https://www.diodes.com/assets/Datasheets/DMN66D0LT.pdf","DMN66D0LT Datasheet")</f>
        <v>DMN66D0LT Datasheet</v>
      </c>
      <c r="C758" t="s">
        <v>721</v>
      </c>
      <c r="D758" t="s">
        <v>25</v>
      </c>
      <c r="E758" t="s">
        <v>26</v>
      </c>
      <c r="F758" t="s">
        <v>27</v>
      </c>
      <c r="G758" t="s">
        <v>25</v>
      </c>
      <c r="H758">
        <v>60</v>
      </c>
      <c r="I758">
        <v>20</v>
      </c>
      <c r="J758">
        <v>0.115</v>
      </c>
      <c r="L758">
        <v>0.2</v>
      </c>
      <c r="N758">
        <v>5000</v>
      </c>
      <c r="O758" t="s">
        <v>750</v>
      </c>
      <c r="S758">
        <v>2</v>
      </c>
      <c r="V758" t="s">
        <v>31</v>
      </c>
      <c r="X758" t="s">
        <v>41</v>
      </c>
    </row>
    <row r="759" spans="1:24">
      <c r="A759" t="str">
        <f>Hyperlink("https://www.diodes.com/part/view/DMN67D7L","DMN67D7L")</f>
        <v>DMN67D7L</v>
      </c>
      <c r="B759" t="str">
        <f>Hyperlink("https://www.diodes.com/assets/Datasheets/DMN67D7L.pdf","DMN67D7L Datasheet")</f>
        <v>DMN67D7L Datasheet</v>
      </c>
      <c r="C759" t="s">
        <v>721</v>
      </c>
      <c r="D759" t="s">
        <v>28</v>
      </c>
      <c r="E759" t="s">
        <v>26</v>
      </c>
      <c r="F759" t="s">
        <v>27</v>
      </c>
      <c r="G759" t="s">
        <v>28</v>
      </c>
      <c r="H759">
        <v>60</v>
      </c>
      <c r="I759">
        <v>40</v>
      </c>
      <c r="J759">
        <v>0.21</v>
      </c>
      <c r="L759">
        <v>0.57</v>
      </c>
      <c r="N759">
        <v>5000</v>
      </c>
      <c r="O759" t="s">
        <v>751</v>
      </c>
      <c r="S759">
        <v>2.5</v>
      </c>
      <c r="T759">
        <v>0.361</v>
      </c>
      <c r="U759">
        <v>0.821</v>
      </c>
      <c r="V759">
        <v>22</v>
      </c>
      <c r="W759">
        <v>25</v>
      </c>
      <c r="X759" t="s">
        <v>32</v>
      </c>
    </row>
    <row r="760" spans="1:24">
      <c r="A760" t="str">
        <f>Hyperlink("https://www.diodes.com/part/view/DMN67D8L","DMN67D8L")</f>
        <v>DMN67D8L</v>
      </c>
      <c r="B760" t="str">
        <f>Hyperlink("https://www.diodes.com/assets/Datasheets/DMN67D8L.pdf","DMN67D8L Datasheet")</f>
        <v>DMN67D8L Datasheet</v>
      </c>
      <c r="C760" t="s">
        <v>721</v>
      </c>
      <c r="D760" t="s">
        <v>25</v>
      </c>
      <c r="E760" t="s">
        <v>26</v>
      </c>
      <c r="F760" t="s">
        <v>27</v>
      </c>
      <c r="G760" t="s">
        <v>28</v>
      </c>
      <c r="H760">
        <v>60</v>
      </c>
      <c r="I760">
        <v>30</v>
      </c>
      <c r="J760">
        <v>0.21</v>
      </c>
      <c r="L760">
        <v>0.57</v>
      </c>
      <c r="N760">
        <v>5000</v>
      </c>
      <c r="O760" t="s">
        <v>751</v>
      </c>
      <c r="S760">
        <v>2.5</v>
      </c>
      <c r="T760">
        <v>0.361</v>
      </c>
      <c r="U760">
        <v>0.821</v>
      </c>
      <c r="V760">
        <v>22</v>
      </c>
      <c r="W760">
        <v>25</v>
      </c>
      <c r="X760" t="s">
        <v>30</v>
      </c>
    </row>
    <row r="761" spans="1:24">
      <c r="A761" t="str">
        <f>Hyperlink("https://www.diodes.com/part/view/DMN67D8LDW","DMN67D8LDW")</f>
        <v>DMN67D8LDW</v>
      </c>
      <c r="B761" t="str">
        <f>Hyperlink("https://www.diodes.com/assets/Datasheets/DMN67D8LDW.pdf","DMN67D8LDW Datasheet")</f>
        <v>DMN67D8LDW Datasheet</v>
      </c>
      <c r="C761" t="s">
        <v>38</v>
      </c>
      <c r="D761" t="s">
        <v>25</v>
      </c>
      <c r="E761" t="s">
        <v>26</v>
      </c>
      <c r="F761" t="s">
        <v>35</v>
      </c>
      <c r="G761" t="s">
        <v>28</v>
      </c>
      <c r="H761">
        <v>60</v>
      </c>
      <c r="I761">
        <v>30</v>
      </c>
      <c r="J761">
        <v>0.23</v>
      </c>
      <c r="L761">
        <v>0.41</v>
      </c>
      <c r="N761">
        <v>5000</v>
      </c>
      <c r="O761" t="s">
        <v>751</v>
      </c>
      <c r="S761">
        <v>2.5</v>
      </c>
      <c r="T761">
        <v>0.361</v>
      </c>
      <c r="U761">
        <v>0.821</v>
      </c>
      <c r="V761">
        <v>22</v>
      </c>
      <c r="W761">
        <v>25</v>
      </c>
      <c r="X761" t="s">
        <v>37</v>
      </c>
    </row>
    <row r="762" spans="1:24">
      <c r="A762" t="str">
        <f>Hyperlink("https://www.diodes.com/part/view/DMN67D8LT","DMN67D8LT")</f>
        <v>DMN67D8LT</v>
      </c>
      <c r="B762" t="str">
        <f>Hyperlink("https://www.diodes.com/assets/Datasheets/DMN67D8LT.pdf","DMN67D8LT Datasheet")</f>
        <v>DMN67D8LT Datasheet</v>
      </c>
      <c r="C762" t="s">
        <v>24</v>
      </c>
      <c r="D762" t="s">
        <v>28</v>
      </c>
      <c r="E762" t="s">
        <v>26</v>
      </c>
      <c r="F762" t="s">
        <v>27</v>
      </c>
      <c r="G762" t="s">
        <v>28</v>
      </c>
      <c r="H762">
        <v>60</v>
      </c>
      <c r="I762">
        <v>20</v>
      </c>
      <c r="J762">
        <v>0.21</v>
      </c>
      <c r="L762">
        <v>0.35</v>
      </c>
      <c r="N762">
        <v>5000</v>
      </c>
      <c r="O762" t="s">
        <v>752</v>
      </c>
      <c r="R762">
        <v>1</v>
      </c>
      <c r="S762">
        <v>2.5</v>
      </c>
      <c r="T762">
        <v>0.361</v>
      </c>
      <c r="U762">
        <v>0.821</v>
      </c>
      <c r="V762">
        <v>22</v>
      </c>
      <c r="W762">
        <v>25</v>
      </c>
      <c r="X762" t="s">
        <v>41</v>
      </c>
    </row>
    <row r="763" spans="1:24">
      <c r="A763" t="str">
        <f>Hyperlink("https://www.diodes.com/part/view/DMN67D8LW","DMN67D8LW")</f>
        <v>DMN67D8LW</v>
      </c>
      <c r="B763" t="str">
        <f>Hyperlink("https://www.diodes.com/assets/Datasheets/DMN67D8LW.pdf","DMN67D8LW Datasheet")</f>
        <v>DMN67D8LW Datasheet</v>
      </c>
      <c r="C763" t="s">
        <v>721</v>
      </c>
      <c r="D763" t="s">
        <v>25</v>
      </c>
      <c r="E763" t="s">
        <v>26</v>
      </c>
      <c r="F763" t="s">
        <v>27</v>
      </c>
      <c r="G763" t="s">
        <v>28</v>
      </c>
      <c r="H763">
        <v>60</v>
      </c>
      <c r="I763">
        <v>30</v>
      </c>
      <c r="J763">
        <v>0.24</v>
      </c>
      <c r="L763">
        <v>0.47</v>
      </c>
      <c r="N763">
        <v>5000</v>
      </c>
      <c r="O763" t="s">
        <v>751</v>
      </c>
      <c r="S763">
        <v>2.5</v>
      </c>
      <c r="T763">
        <v>0.361</v>
      </c>
      <c r="U763">
        <v>0.821</v>
      </c>
      <c r="V763">
        <v>22</v>
      </c>
      <c r="W763">
        <v>25</v>
      </c>
      <c r="X763" t="s">
        <v>60</v>
      </c>
    </row>
    <row r="764" spans="1:24">
      <c r="A764" t="str">
        <f>Hyperlink("https://www.diodes.com/part/view/DMN68M7SCT","DMN68M7SCT")</f>
        <v>DMN68M7SCT</v>
      </c>
      <c r="B764" t="str">
        <f>Hyperlink("https://www.diodes.com/assets/Datasheets/DMN68M7SCT.pdf","DMN68M7SCT Datasheet")</f>
        <v>DMN68M7SCT Datasheet</v>
      </c>
      <c r="C764" t="s">
        <v>24</v>
      </c>
      <c r="D764" t="s">
        <v>28</v>
      </c>
      <c r="E764" t="s">
        <v>26</v>
      </c>
      <c r="F764" t="s">
        <v>27</v>
      </c>
      <c r="G764" t="s">
        <v>28</v>
      </c>
      <c r="H764">
        <v>68</v>
      </c>
      <c r="I764">
        <v>20</v>
      </c>
      <c r="K764">
        <v>100</v>
      </c>
      <c r="M764">
        <v>125</v>
      </c>
      <c r="N764">
        <v>8</v>
      </c>
      <c r="S764">
        <v>3</v>
      </c>
      <c r="T764">
        <v>36</v>
      </c>
      <c r="U764">
        <v>72.9</v>
      </c>
      <c r="V764">
        <v>4260</v>
      </c>
      <c r="W764">
        <v>30</v>
      </c>
      <c r="X764" t="s">
        <v>753</v>
      </c>
    </row>
    <row r="765" spans="1:24">
      <c r="A765" t="str">
        <f>Hyperlink("https://www.diodes.com/part/view/DMNH10H021SPSW","DMNH10H021SPSW")</f>
        <v>DMNH10H021SPSW</v>
      </c>
      <c r="B765" t="str">
        <f>Hyperlink("https://www.diodes.com/assets/Datasheets/DMNH10H021SPSW.pdf","DMNH10H021SPSW Datasheet")</f>
        <v>DMNH10H021SPSW Datasheet</v>
      </c>
      <c r="C765" t="s">
        <v>754</v>
      </c>
      <c r="D765" t="s">
        <v>28</v>
      </c>
      <c r="E765" t="s">
        <v>26</v>
      </c>
      <c r="F765" t="s">
        <v>27</v>
      </c>
      <c r="G765" t="s">
        <v>28</v>
      </c>
      <c r="H765">
        <v>100</v>
      </c>
      <c r="I765">
        <v>20</v>
      </c>
      <c r="K765">
        <v>58</v>
      </c>
      <c r="L765">
        <v>4.4</v>
      </c>
      <c r="N765">
        <v>28</v>
      </c>
      <c r="S765">
        <v>4</v>
      </c>
      <c r="U765">
        <v>71</v>
      </c>
      <c r="V765">
        <v>3789</v>
      </c>
      <c r="W765">
        <v>50</v>
      </c>
      <c r="X765" t="s">
        <v>617</v>
      </c>
    </row>
    <row r="766" spans="1:24">
      <c r="A766" t="str">
        <f>Hyperlink("https://www.diodes.com/part/view/DMNH10H028SCT","DMNH10H028SCT")</f>
        <v>DMNH10H028SCT</v>
      </c>
      <c r="B766" t="str">
        <f>Hyperlink("https://www.diodes.com/assets/Datasheets/DMNH10H028SCT.pdf","DMNH10H028SCT Datasheet")</f>
        <v>DMNH10H028SCT Datasheet</v>
      </c>
      <c r="C766" t="s">
        <v>754</v>
      </c>
      <c r="D766" t="s">
        <v>25</v>
      </c>
      <c r="E766" t="s">
        <v>26</v>
      </c>
      <c r="F766" t="s">
        <v>27</v>
      </c>
      <c r="G766" t="s">
        <v>28</v>
      </c>
      <c r="H766">
        <v>100</v>
      </c>
      <c r="I766">
        <v>20</v>
      </c>
      <c r="K766">
        <v>60</v>
      </c>
      <c r="L766">
        <v>2.8</v>
      </c>
      <c r="N766">
        <v>28</v>
      </c>
      <c r="S766">
        <v>4</v>
      </c>
      <c r="U766">
        <v>31.9</v>
      </c>
      <c r="V766">
        <v>1942</v>
      </c>
      <c r="W766">
        <v>50</v>
      </c>
      <c r="X766" t="s">
        <v>753</v>
      </c>
    </row>
    <row r="767" spans="1:24">
      <c r="A767" t="str">
        <f>Hyperlink("https://www.diodes.com/part/view/DMNH10H028SK3","DMNH10H028SK3")</f>
        <v>DMNH10H028SK3</v>
      </c>
      <c r="B767" t="str">
        <f>Hyperlink("https://www.diodes.com/assets/Datasheets/DMNH10H028SK3.pdf","DMNH10H028SK3 Datasheet")</f>
        <v>DMNH10H028SK3 Datasheet</v>
      </c>
      <c r="C767" t="s">
        <v>754</v>
      </c>
      <c r="D767" t="s">
        <v>25</v>
      </c>
      <c r="E767" t="s">
        <v>26</v>
      </c>
      <c r="F767" t="s">
        <v>27</v>
      </c>
      <c r="G767" t="s">
        <v>28</v>
      </c>
      <c r="H767">
        <v>100</v>
      </c>
      <c r="I767">
        <v>20</v>
      </c>
      <c r="K767">
        <v>55</v>
      </c>
      <c r="L767">
        <v>3.7</v>
      </c>
      <c r="M767">
        <v>125</v>
      </c>
      <c r="N767">
        <v>28</v>
      </c>
      <c r="S767">
        <v>3.3</v>
      </c>
      <c r="U767">
        <v>36</v>
      </c>
      <c r="V767">
        <v>2245</v>
      </c>
      <c r="X767" t="s">
        <v>507</v>
      </c>
    </row>
    <row r="768" spans="1:24">
      <c r="A768" t="str">
        <f>Hyperlink("https://www.diodes.com/part/view/DMNH10H028SK3Q","DMNH10H028SK3Q")</f>
        <v>DMNH10H028SK3Q</v>
      </c>
      <c r="B768" t="str">
        <f>Hyperlink("https://www.diodes.com/assets/Datasheets/DMNH10H028SK3Q.pdf","DMNH10H028SK3Q Datasheet")</f>
        <v>DMNH10H028SK3Q Datasheet</v>
      </c>
      <c r="C768" t="s">
        <v>754</v>
      </c>
      <c r="D768" t="s">
        <v>25</v>
      </c>
      <c r="E768" t="s">
        <v>33</v>
      </c>
      <c r="F768" t="s">
        <v>27</v>
      </c>
      <c r="G768" t="s">
        <v>28</v>
      </c>
      <c r="H768">
        <v>100</v>
      </c>
      <c r="I768">
        <v>20</v>
      </c>
      <c r="K768">
        <v>55</v>
      </c>
      <c r="L768">
        <v>3.7</v>
      </c>
      <c r="M768">
        <v>125</v>
      </c>
      <c r="N768">
        <v>28</v>
      </c>
      <c r="S768">
        <v>4</v>
      </c>
      <c r="U768">
        <v>36</v>
      </c>
      <c r="V768">
        <v>2245</v>
      </c>
      <c r="W768">
        <v>50</v>
      </c>
      <c r="X768" t="s">
        <v>507</v>
      </c>
    </row>
    <row r="769" spans="1:24">
      <c r="A769" t="str">
        <f>Hyperlink("https://www.diodes.com/part/view/DMNH10H028SPS","DMNH10H028SPS")</f>
        <v>DMNH10H028SPS</v>
      </c>
      <c r="B769" t="str">
        <f>Hyperlink("https://www.diodes.com/assets/Datasheets/DMNH10H028SPS.pdf","DMNH10H028SPS Datasheet")</f>
        <v>DMNH10H028SPS Datasheet</v>
      </c>
      <c r="C769" t="s">
        <v>754</v>
      </c>
      <c r="D769" t="s">
        <v>25</v>
      </c>
      <c r="E769" t="s">
        <v>26</v>
      </c>
      <c r="F769" t="s">
        <v>27</v>
      </c>
      <c r="G769" t="s">
        <v>28</v>
      </c>
      <c r="H769">
        <v>100</v>
      </c>
      <c r="I769">
        <v>20</v>
      </c>
      <c r="K769">
        <v>40</v>
      </c>
      <c r="L769">
        <v>2.9</v>
      </c>
      <c r="M769">
        <v>166</v>
      </c>
      <c r="N769">
        <v>28</v>
      </c>
      <c r="S769">
        <v>4</v>
      </c>
      <c r="U769">
        <v>36</v>
      </c>
      <c r="V769">
        <v>2245</v>
      </c>
      <c r="W769">
        <v>50</v>
      </c>
      <c r="X769" t="s">
        <v>617</v>
      </c>
    </row>
    <row r="770" spans="1:24">
      <c r="A770" t="str">
        <f>Hyperlink("https://www.diodes.com/part/view/DMNH10H028SPSQ","DMNH10H028SPSQ")</f>
        <v>DMNH10H028SPSQ</v>
      </c>
      <c r="B770" t="str">
        <f>Hyperlink("https://www.diodes.com/assets/Datasheets/DMNH10H028SPSQ.pdf","DMNH10H028SPSQ Datasheet")</f>
        <v>DMNH10H028SPSQ Datasheet</v>
      </c>
      <c r="C770" t="s">
        <v>754</v>
      </c>
      <c r="D770" t="s">
        <v>25</v>
      </c>
      <c r="E770" t="s">
        <v>33</v>
      </c>
      <c r="F770" t="s">
        <v>27</v>
      </c>
      <c r="G770" t="s">
        <v>28</v>
      </c>
      <c r="H770">
        <v>100</v>
      </c>
      <c r="I770">
        <v>20</v>
      </c>
      <c r="K770">
        <v>63</v>
      </c>
      <c r="L770">
        <v>2.9</v>
      </c>
      <c r="M770">
        <v>166</v>
      </c>
      <c r="N770">
        <v>28</v>
      </c>
      <c r="S770">
        <v>4</v>
      </c>
      <c r="U770">
        <v>36</v>
      </c>
      <c r="V770">
        <v>2245</v>
      </c>
      <c r="W770">
        <v>50</v>
      </c>
      <c r="X770" t="s">
        <v>617</v>
      </c>
    </row>
    <row r="771" spans="1:24">
      <c r="A771" t="str">
        <f>Hyperlink("https://www.diodes.com/part/view/DMNH10H028SPSWQ","DMNH10H028SPSWQ")</f>
        <v>DMNH10H028SPSWQ</v>
      </c>
      <c r="B771" t="str">
        <f>Hyperlink("https://www.diodes.com/assets/Datasheets/DMNH10H028SPSWQ.pdf","DMNH10H028SPSWQ Datasheet")</f>
        <v>DMNH10H028SPSWQ Datasheet</v>
      </c>
      <c r="C771" t="s">
        <v>755</v>
      </c>
      <c r="D771" t="s">
        <v>25</v>
      </c>
      <c r="E771" t="s">
        <v>33</v>
      </c>
      <c r="F771" t="s">
        <v>27</v>
      </c>
      <c r="G771" t="s">
        <v>28</v>
      </c>
      <c r="H771">
        <v>100</v>
      </c>
      <c r="I771">
        <v>20</v>
      </c>
      <c r="K771">
        <v>40</v>
      </c>
      <c r="L771">
        <v>2.9</v>
      </c>
      <c r="N771">
        <v>28</v>
      </c>
      <c r="R771">
        <v>2</v>
      </c>
      <c r="S771">
        <v>4</v>
      </c>
      <c r="T771" t="s">
        <v>756</v>
      </c>
      <c r="U771">
        <v>36</v>
      </c>
      <c r="V771">
        <v>2245</v>
      </c>
      <c r="W771">
        <v>50</v>
      </c>
      <c r="X771" t="s">
        <v>757</v>
      </c>
    </row>
    <row r="772" spans="1:24">
      <c r="A772" t="str">
        <f>Hyperlink("https://www.diodes.com/part/view/DMNH3010LK3","DMNH3010LK3")</f>
        <v>DMNH3010LK3</v>
      </c>
      <c r="B772" t="str">
        <f>Hyperlink("https://www.diodes.com/assets/Datasheets/DMNH3010LK3.pdf","DMNH3010LK3 Datasheet")</f>
        <v>DMNH3010LK3 Datasheet</v>
      </c>
      <c r="C772" t="s">
        <v>758</v>
      </c>
      <c r="D772" t="s">
        <v>25</v>
      </c>
      <c r="E772" t="s">
        <v>26</v>
      </c>
      <c r="F772" t="s">
        <v>27</v>
      </c>
      <c r="G772" t="s">
        <v>28</v>
      </c>
      <c r="H772">
        <v>30</v>
      </c>
      <c r="I772">
        <v>20</v>
      </c>
      <c r="J772">
        <v>15</v>
      </c>
      <c r="K772">
        <v>55</v>
      </c>
      <c r="L772">
        <v>3.2</v>
      </c>
      <c r="N772">
        <v>9.5</v>
      </c>
      <c r="O772">
        <v>11.5</v>
      </c>
      <c r="S772">
        <v>2.5</v>
      </c>
      <c r="T772">
        <v>16.1</v>
      </c>
      <c r="U772">
        <v>37</v>
      </c>
      <c r="V772">
        <v>2075</v>
      </c>
      <c r="W772">
        <v>15</v>
      </c>
      <c r="X772" t="s">
        <v>507</v>
      </c>
    </row>
    <row r="773" spans="1:24">
      <c r="A773" t="str">
        <f>Hyperlink("https://www.diodes.com/part/view/DMNH4004SPS","DMNH4004SPS")</f>
        <v>DMNH4004SPS</v>
      </c>
      <c r="B773" t="str">
        <f>Hyperlink("https://www.diodes.com/assets/Datasheets/DMNH4004SPS.pdf","DMNH4004SPS Datasheet")</f>
        <v>DMNH4004SPS Datasheet</v>
      </c>
      <c r="C773" t="s">
        <v>759</v>
      </c>
      <c r="D773" t="s">
        <v>28</v>
      </c>
      <c r="E773" t="s">
        <v>26</v>
      </c>
      <c r="F773" t="s">
        <v>27</v>
      </c>
      <c r="G773" t="s">
        <v>28</v>
      </c>
      <c r="H773">
        <v>40</v>
      </c>
      <c r="I773">
        <v>20</v>
      </c>
      <c r="K773">
        <v>100</v>
      </c>
      <c r="L773">
        <v>2.8</v>
      </c>
      <c r="N773">
        <v>6</v>
      </c>
      <c r="S773">
        <v>3.5</v>
      </c>
      <c r="U773">
        <v>40</v>
      </c>
      <c r="V773">
        <v>2284</v>
      </c>
      <c r="W773">
        <v>25</v>
      </c>
      <c r="X773" t="s">
        <v>617</v>
      </c>
    </row>
    <row r="774" spans="1:24">
      <c r="A774" t="str">
        <f>Hyperlink("https://www.diodes.com/part/view/DMNH4005SCT","DMNH4005SCT")</f>
        <v>DMNH4005SCT</v>
      </c>
      <c r="B774" t="str">
        <f>Hyperlink("https://www.diodes.com/assets/Datasheets/DMNH4005SCT.pdf","DMNH4005SCT Datasheet")</f>
        <v>DMNH4005SCT Datasheet</v>
      </c>
      <c r="C774" t="s">
        <v>759</v>
      </c>
      <c r="D774" t="s">
        <v>25</v>
      </c>
      <c r="E774" t="s">
        <v>26</v>
      </c>
      <c r="F774" t="s">
        <v>27</v>
      </c>
      <c r="G774" t="s">
        <v>28</v>
      </c>
      <c r="H774">
        <v>40</v>
      </c>
      <c r="I774">
        <v>20</v>
      </c>
      <c r="K774">
        <v>150</v>
      </c>
      <c r="M774">
        <v>165</v>
      </c>
      <c r="N774">
        <v>4</v>
      </c>
      <c r="S774">
        <v>3</v>
      </c>
      <c r="T774">
        <v>23</v>
      </c>
      <c r="U774">
        <v>48</v>
      </c>
      <c r="V774">
        <v>2846</v>
      </c>
      <c r="W774">
        <v>20</v>
      </c>
      <c r="X774" t="s">
        <v>753</v>
      </c>
    </row>
    <row r="775" spans="1:24">
      <c r="A775" t="str">
        <f>Hyperlink("https://www.diodes.com/part/view/DMNH4005SCTQ","DMNH4005SCTQ")</f>
        <v>DMNH4005SCTQ</v>
      </c>
      <c r="B775" t="str">
        <f>Hyperlink("https://www.diodes.com/assets/Datasheets/DMNH4005SCTQ.pdf","DMNH4005SCTQ Datasheet")</f>
        <v>DMNH4005SCTQ Datasheet</v>
      </c>
      <c r="C775" t="s">
        <v>760</v>
      </c>
      <c r="D775" t="s">
        <v>25</v>
      </c>
      <c r="E775" t="s">
        <v>33</v>
      </c>
      <c r="F775" t="s">
        <v>27</v>
      </c>
      <c r="G775" t="s">
        <v>28</v>
      </c>
      <c r="H775">
        <v>40</v>
      </c>
      <c r="I775">
        <v>20</v>
      </c>
      <c r="K775">
        <v>150</v>
      </c>
      <c r="M775">
        <v>165</v>
      </c>
      <c r="N775">
        <v>4</v>
      </c>
      <c r="S775">
        <v>3</v>
      </c>
      <c r="T775">
        <v>23</v>
      </c>
      <c r="U775">
        <v>48</v>
      </c>
      <c r="V775">
        <v>2846</v>
      </c>
      <c r="W775">
        <v>20</v>
      </c>
      <c r="X775" t="s">
        <v>753</v>
      </c>
    </row>
    <row r="776" spans="1:24">
      <c r="A776" t="str">
        <f>Hyperlink("https://www.diodes.com/part/view/DMNH4005SPS","DMNH4005SPS")</f>
        <v>DMNH4005SPS</v>
      </c>
      <c r="B776" t="str">
        <f>Hyperlink("https://www.diodes.com/assets/Datasheets/DMNH4005SPS.pdf","DMNH4005SPS Datasheet")</f>
        <v>DMNH4005SPS Datasheet</v>
      </c>
      <c r="C776" t="s">
        <v>759</v>
      </c>
      <c r="D776" t="s">
        <v>25</v>
      </c>
      <c r="E776" t="s">
        <v>26</v>
      </c>
      <c r="F776" t="s">
        <v>27</v>
      </c>
      <c r="G776" t="s">
        <v>28</v>
      </c>
      <c r="H776">
        <v>40</v>
      </c>
      <c r="I776">
        <v>20</v>
      </c>
      <c r="K776">
        <v>120</v>
      </c>
      <c r="L776">
        <v>2.8</v>
      </c>
      <c r="N776">
        <v>4</v>
      </c>
      <c r="S776">
        <v>3</v>
      </c>
      <c r="T776">
        <v>23</v>
      </c>
      <c r="U776">
        <v>48</v>
      </c>
      <c r="V776">
        <v>2847</v>
      </c>
      <c r="W776">
        <v>20</v>
      </c>
      <c r="X776" t="s">
        <v>617</v>
      </c>
    </row>
    <row r="777" spans="1:24">
      <c r="A777" t="str">
        <f>Hyperlink("https://www.diodes.com/part/view/DMNH4005SPSQ","DMNH4005SPSQ")</f>
        <v>DMNH4005SPSQ</v>
      </c>
      <c r="B777" t="str">
        <f>Hyperlink("https://www.diodes.com/assets/Datasheets/DMNH4005SPSQ.pdf","DMNH4005SPSQ Datasheet")</f>
        <v>DMNH4005SPSQ Datasheet</v>
      </c>
      <c r="C777" t="s">
        <v>760</v>
      </c>
      <c r="D777" t="s">
        <v>25</v>
      </c>
      <c r="E777" t="s">
        <v>33</v>
      </c>
      <c r="F777" t="s">
        <v>27</v>
      </c>
      <c r="G777" t="s">
        <v>28</v>
      </c>
      <c r="H777">
        <v>40</v>
      </c>
      <c r="I777">
        <v>20</v>
      </c>
      <c r="K777">
        <v>80</v>
      </c>
      <c r="L777">
        <v>2.8</v>
      </c>
      <c r="N777">
        <v>4</v>
      </c>
      <c r="S777">
        <v>3</v>
      </c>
      <c r="T777">
        <v>23</v>
      </c>
      <c r="U777">
        <v>48</v>
      </c>
      <c r="V777">
        <v>2847</v>
      </c>
      <c r="W777">
        <v>20</v>
      </c>
      <c r="X777" t="s">
        <v>617</v>
      </c>
    </row>
    <row r="778" spans="1:24">
      <c r="A778" t="str">
        <f>Hyperlink("https://www.diodes.com/part/view/DMNH4005SPSWQ","DMNH4005SPSWQ")</f>
        <v>DMNH4005SPSWQ</v>
      </c>
      <c r="B778" t="str">
        <f>Hyperlink("https://www.diodes.com/assets/Datasheets/DMNH4005SPSWQ.pdf","DMNH4005SPSWQ Datasheet")</f>
        <v>DMNH4005SPSWQ Datasheet</v>
      </c>
      <c r="C778" t="s">
        <v>761</v>
      </c>
      <c r="D778" t="s">
        <v>25</v>
      </c>
      <c r="E778" t="s">
        <v>33</v>
      </c>
      <c r="F778" t="s">
        <v>27</v>
      </c>
      <c r="G778" t="s">
        <v>28</v>
      </c>
      <c r="H778">
        <v>40</v>
      </c>
      <c r="I778">
        <v>20</v>
      </c>
      <c r="K778">
        <v>80</v>
      </c>
      <c r="L778">
        <v>2.8</v>
      </c>
      <c r="N778">
        <v>4</v>
      </c>
      <c r="R778">
        <v>1</v>
      </c>
      <c r="S778">
        <v>3</v>
      </c>
      <c r="T778">
        <v>23</v>
      </c>
      <c r="U778">
        <v>48</v>
      </c>
      <c r="V778">
        <v>2847</v>
      </c>
      <c r="W778">
        <v>20</v>
      </c>
      <c r="X778" t="s">
        <v>757</v>
      </c>
    </row>
    <row r="779" spans="1:24">
      <c r="A779" t="str">
        <f>Hyperlink("https://www.diodes.com/part/view/DMNH4006SK3","DMNH4006SK3")</f>
        <v>DMNH4006SK3</v>
      </c>
      <c r="B779" t="str">
        <f>Hyperlink("https://www.diodes.com/assets/Datasheets/DMNH4006SK3.pdf","DMNH4006SK3 Datasheet")</f>
        <v>DMNH4006SK3 Datasheet</v>
      </c>
      <c r="C779" t="s">
        <v>760</v>
      </c>
      <c r="D779" t="s">
        <v>25</v>
      </c>
      <c r="E779" t="s">
        <v>26</v>
      </c>
      <c r="F779" t="s">
        <v>27</v>
      </c>
      <c r="G779" t="s">
        <v>28</v>
      </c>
      <c r="H779">
        <v>40</v>
      </c>
      <c r="I779">
        <v>20</v>
      </c>
      <c r="J779">
        <v>20</v>
      </c>
      <c r="L779">
        <v>3.6</v>
      </c>
      <c r="N779">
        <v>6</v>
      </c>
      <c r="S779">
        <v>4</v>
      </c>
      <c r="U779">
        <v>51</v>
      </c>
      <c r="V779">
        <v>2280</v>
      </c>
      <c r="W779">
        <v>25</v>
      </c>
      <c r="X779" t="s">
        <v>507</v>
      </c>
    </row>
    <row r="780" spans="1:24">
      <c r="A780" t="str">
        <f>Hyperlink("https://www.diodes.com/part/view/DMNH4006SK3Q","DMNH4006SK3Q")</f>
        <v>DMNH4006SK3Q</v>
      </c>
      <c r="B780" t="str">
        <f>Hyperlink("https://www.diodes.com/assets/Datasheets/DMNH4006SK3Q.pdf","DMNH4006SK3Q Datasheet")</f>
        <v>DMNH4006SK3Q Datasheet</v>
      </c>
      <c r="C780" t="s">
        <v>760</v>
      </c>
      <c r="D780" t="s">
        <v>25</v>
      </c>
      <c r="E780" t="s">
        <v>33</v>
      </c>
      <c r="F780" t="s">
        <v>27</v>
      </c>
      <c r="G780" t="s">
        <v>28</v>
      </c>
      <c r="H780">
        <v>40</v>
      </c>
      <c r="I780">
        <v>20</v>
      </c>
      <c r="J780">
        <v>20</v>
      </c>
      <c r="K780">
        <v>140</v>
      </c>
      <c r="L780">
        <v>3.6</v>
      </c>
      <c r="N780">
        <v>6</v>
      </c>
      <c r="S780">
        <v>4</v>
      </c>
      <c r="U780">
        <v>51</v>
      </c>
      <c r="V780">
        <v>2280</v>
      </c>
      <c r="W780">
        <v>25</v>
      </c>
      <c r="X780" t="s">
        <v>507</v>
      </c>
    </row>
    <row r="781" spans="1:24">
      <c r="A781" t="str">
        <f>Hyperlink("https://www.diodes.com/part/view/DMNH4006SPS","DMNH4006SPS")</f>
        <v>DMNH4006SPS</v>
      </c>
      <c r="B781" t="str">
        <f>Hyperlink("https://www.diodes.com/assets/Datasheets/DMNH4006SPS.pdf","DMNH4006SPS Datasheet")</f>
        <v>DMNH4006SPS Datasheet</v>
      </c>
      <c r="C781" t="s">
        <v>759</v>
      </c>
      <c r="D781" t="s">
        <v>28</v>
      </c>
      <c r="E781" t="s">
        <v>26</v>
      </c>
      <c r="F781" t="s">
        <v>27</v>
      </c>
      <c r="G781" t="s">
        <v>28</v>
      </c>
      <c r="H781">
        <v>40</v>
      </c>
      <c r="I781">
        <v>20</v>
      </c>
      <c r="K781">
        <v>110</v>
      </c>
      <c r="L781">
        <v>3</v>
      </c>
      <c r="N781">
        <v>7</v>
      </c>
      <c r="S781">
        <v>4</v>
      </c>
      <c r="U781">
        <v>50.9</v>
      </c>
      <c r="V781">
        <v>2280</v>
      </c>
      <c r="W781">
        <v>25</v>
      </c>
      <c r="X781" t="s">
        <v>617</v>
      </c>
    </row>
    <row r="782" spans="1:24">
      <c r="A782" t="str">
        <f>Hyperlink("https://www.diodes.com/part/view/DMNH4006SPSQ","DMNH4006SPSQ")</f>
        <v>DMNH4006SPSQ</v>
      </c>
      <c r="B782" t="str">
        <f>Hyperlink("https://www.diodes.com/assets/Datasheets/DMNH4006SPSQ.pdf","DMNH4006SPSQ Datasheet")</f>
        <v>DMNH4006SPSQ Datasheet</v>
      </c>
      <c r="C782" t="s">
        <v>760</v>
      </c>
      <c r="D782" t="s">
        <v>25</v>
      </c>
      <c r="E782" t="s">
        <v>33</v>
      </c>
      <c r="F782" t="s">
        <v>27</v>
      </c>
      <c r="G782" t="s">
        <v>28</v>
      </c>
      <c r="H782">
        <v>40</v>
      </c>
      <c r="I782">
        <v>20</v>
      </c>
      <c r="K782">
        <v>110</v>
      </c>
      <c r="L782">
        <v>3</v>
      </c>
      <c r="N782">
        <v>7</v>
      </c>
      <c r="S782">
        <v>4</v>
      </c>
      <c r="U782">
        <v>50.9</v>
      </c>
      <c r="V782">
        <v>2280</v>
      </c>
      <c r="W782">
        <v>25</v>
      </c>
      <c r="X782" t="s">
        <v>617</v>
      </c>
    </row>
    <row r="783" spans="1:24">
      <c r="A783" t="str">
        <f>Hyperlink("https://www.diodes.com/part/view/DMNH4006SPSWQ","DMNH4006SPSWQ")</f>
        <v>DMNH4006SPSWQ</v>
      </c>
      <c r="B783" t="str">
        <f>Hyperlink("https://www.diodes.com/assets/Datasheets/DMNH4006SPSWQ.pdf","DMNH4006SPSWQ Datasheet")</f>
        <v>DMNH4006SPSWQ Datasheet</v>
      </c>
      <c r="C783" t="s">
        <v>761</v>
      </c>
      <c r="D783" t="s">
        <v>25</v>
      </c>
      <c r="E783" t="s">
        <v>33</v>
      </c>
      <c r="F783" t="s">
        <v>27</v>
      </c>
      <c r="G783" t="s">
        <v>28</v>
      </c>
      <c r="H783">
        <v>40</v>
      </c>
      <c r="I783">
        <v>20</v>
      </c>
      <c r="K783">
        <v>110</v>
      </c>
      <c r="L783">
        <v>3</v>
      </c>
      <c r="N783">
        <v>7</v>
      </c>
      <c r="R783">
        <v>2</v>
      </c>
      <c r="S783">
        <v>4</v>
      </c>
      <c r="U783">
        <v>50.9</v>
      </c>
      <c r="V783">
        <v>2280</v>
      </c>
      <c r="W783">
        <v>25</v>
      </c>
      <c r="X783" t="s">
        <v>757</v>
      </c>
    </row>
    <row r="784" spans="1:24">
      <c r="A784" t="str">
        <f>Hyperlink("https://www.diodes.com/part/view/DMNH4011SK3Q","DMNH4011SK3Q")</f>
        <v>DMNH4011SK3Q</v>
      </c>
      <c r="B784" t="str">
        <f>Hyperlink("https://www.diodes.com/assets/Datasheets/DMNH4011SK3Q.pdf","DMNH4011SK3Q Datasheet")</f>
        <v>DMNH4011SK3Q Datasheet</v>
      </c>
      <c r="C784" t="s">
        <v>760</v>
      </c>
      <c r="D784" t="s">
        <v>25</v>
      </c>
      <c r="E784" t="s">
        <v>33</v>
      </c>
      <c r="F784" t="s">
        <v>27</v>
      </c>
      <c r="G784" t="s">
        <v>28</v>
      </c>
      <c r="H784">
        <v>40</v>
      </c>
      <c r="I784">
        <v>20</v>
      </c>
      <c r="K784">
        <v>50</v>
      </c>
      <c r="L784">
        <v>2.6</v>
      </c>
      <c r="M784">
        <v>50</v>
      </c>
      <c r="N784">
        <v>10</v>
      </c>
      <c r="S784">
        <v>4</v>
      </c>
      <c r="U784">
        <v>25.5</v>
      </c>
      <c r="V784">
        <v>1405</v>
      </c>
      <c r="W784">
        <v>20</v>
      </c>
      <c r="X784" t="s">
        <v>507</v>
      </c>
    </row>
    <row r="785" spans="1:24">
      <c r="A785" t="str">
        <f>Hyperlink("https://www.diodes.com/part/view/DMNH4011SPS","DMNH4011SPS")</f>
        <v>DMNH4011SPS</v>
      </c>
      <c r="B785" t="str">
        <f>Hyperlink("https://www.diodes.com/assets/Datasheets/DMNH4011SPS.pdf","DMNH4011SPS Datasheet")</f>
        <v>DMNH4011SPS Datasheet</v>
      </c>
      <c r="C785" t="s">
        <v>760</v>
      </c>
      <c r="D785" t="s">
        <v>25</v>
      </c>
      <c r="E785" t="s">
        <v>26</v>
      </c>
      <c r="F785" t="s">
        <v>27</v>
      </c>
      <c r="G785" t="s">
        <v>28</v>
      </c>
      <c r="H785">
        <v>40</v>
      </c>
      <c r="I785">
        <v>20</v>
      </c>
      <c r="J785">
        <v>13</v>
      </c>
      <c r="K785">
        <v>80</v>
      </c>
      <c r="L785">
        <v>2.5</v>
      </c>
      <c r="M785">
        <v>100</v>
      </c>
      <c r="N785">
        <v>10</v>
      </c>
      <c r="S785">
        <v>4</v>
      </c>
      <c r="U785">
        <v>25.5</v>
      </c>
      <c r="V785">
        <v>1405</v>
      </c>
      <c r="W785">
        <v>20</v>
      </c>
      <c r="X785" t="s">
        <v>617</v>
      </c>
    </row>
    <row r="786" spans="1:24">
      <c r="A786" t="str">
        <f>Hyperlink("https://www.diodes.com/part/view/DMNH4011SPSQ","DMNH4011SPSQ")</f>
        <v>DMNH4011SPSQ</v>
      </c>
      <c r="B786" t="str">
        <f>Hyperlink("https://www.diodes.com/assets/Datasheets/DMNH4011SPSQ.pdf","DMNH4011SPSQ Datasheet")</f>
        <v>DMNH4011SPSQ Datasheet</v>
      </c>
      <c r="C786" t="s">
        <v>760</v>
      </c>
      <c r="D786" t="s">
        <v>25</v>
      </c>
      <c r="E786" t="s">
        <v>33</v>
      </c>
      <c r="F786" t="s">
        <v>27</v>
      </c>
      <c r="G786" t="s">
        <v>28</v>
      </c>
      <c r="H786">
        <v>40</v>
      </c>
      <c r="I786">
        <v>20</v>
      </c>
      <c r="J786">
        <v>13</v>
      </c>
      <c r="K786">
        <v>100</v>
      </c>
      <c r="L786">
        <v>2.5</v>
      </c>
      <c r="M786">
        <v>150</v>
      </c>
      <c r="N786">
        <v>10</v>
      </c>
      <c r="S786">
        <v>4</v>
      </c>
      <c r="U786">
        <v>25.5</v>
      </c>
      <c r="V786">
        <v>1405</v>
      </c>
      <c r="W786">
        <v>20</v>
      </c>
      <c r="X786" t="s">
        <v>617</v>
      </c>
    </row>
    <row r="787" spans="1:24">
      <c r="A787" t="str">
        <f>Hyperlink("https://www.diodes.com/part/view/DMNH4011SPSWQ","DMNH4011SPSWQ")</f>
        <v>DMNH4011SPSWQ</v>
      </c>
      <c r="B787" t="str">
        <f>Hyperlink("https://www.diodes.com/assets/Datasheets/DMNH4011SPSWQ.pdf","DMNH4011SPSWQ Datasheet")</f>
        <v>DMNH4011SPSWQ Datasheet</v>
      </c>
      <c r="C787" t="s">
        <v>762</v>
      </c>
      <c r="D787" t="s">
        <v>25</v>
      </c>
      <c r="E787" t="s">
        <v>33</v>
      </c>
      <c r="F787" t="s">
        <v>27</v>
      </c>
      <c r="G787" t="s">
        <v>28</v>
      </c>
      <c r="H787">
        <v>40</v>
      </c>
      <c r="I787">
        <v>20</v>
      </c>
      <c r="J787">
        <v>13</v>
      </c>
      <c r="K787">
        <v>80</v>
      </c>
      <c r="L787">
        <v>2.5</v>
      </c>
      <c r="M787">
        <v>150</v>
      </c>
      <c r="N787">
        <v>10</v>
      </c>
      <c r="R787">
        <v>2</v>
      </c>
      <c r="S787">
        <v>4</v>
      </c>
      <c r="U787">
        <v>25.5</v>
      </c>
      <c r="V787">
        <v>1405</v>
      </c>
      <c r="W787">
        <v>20</v>
      </c>
      <c r="X787" t="s">
        <v>757</v>
      </c>
    </row>
    <row r="788" spans="1:24">
      <c r="A788" t="str">
        <f>Hyperlink("https://www.diodes.com/part/view/DMNH4015SSD","DMNH4015SSD")</f>
        <v>DMNH4015SSD</v>
      </c>
      <c r="B788" t="str">
        <f>Hyperlink("https://www.diodes.com/assets/Datasheets/DMNH4015SSD.pdf","DMNH4015SSD Datasheet")</f>
        <v>DMNH4015SSD Datasheet</v>
      </c>
      <c r="C788" t="s">
        <v>702</v>
      </c>
      <c r="D788" t="s">
        <v>25</v>
      </c>
      <c r="E788" t="s">
        <v>26</v>
      </c>
      <c r="F788" t="s">
        <v>35</v>
      </c>
      <c r="G788" t="s">
        <v>28</v>
      </c>
      <c r="H788">
        <v>40</v>
      </c>
      <c r="I788">
        <v>20</v>
      </c>
      <c r="J788">
        <v>8.6</v>
      </c>
      <c r="L788">
        <v>2</v>
      </c>
      <c r="N788">
        <v>15</v>
      </c>
      <c r="O788">
        <v>20</v>
      </c>
      <c r="S788">
        <v>3</v>
      </c>
      <c r="T788">
        <v>15</v>
      </c>
      <c r="U788">
        <v>33</v>
      </c>
      <c r="V788">
        <v>1938</v>
      </c>
      <c r="W788">
        <v>15</v>
      </c>
      <c r="X788" t="s">
        <v>155</v>
      </c>
    </row>
    <row r="789" spans="1:24">
      <c r="A789" t="str">
        <f>Hyperlink("https://www.diodes.com/part/view/DMNH4015SSDQ","DMNH4015SSDQ")</f>
        <v>DMNH4015SSDQ</v>
      </c>
      <c r="B789" t="str">
        <f>Hyperlink("https://www.diodes.com/assets/Datasheets/DMNH4015SSDQ.pdf","DMNH4015SSDQ Datasheet")</f>
        <v>DMNH4015SSDQ Datasheet</v>
      </c>
      <c r="C789" t="s">
        <v>763</v>
      </c>
      <c r="D789" t="s">
        <v>25</v>
      </c>
      <c r="E789" t="s">
        <v>33</v>
      </c>
      <c r="F789" t="s">
        <v>35</v>
      </c>
      <c r="G789" t="s">
        <v>28</v>
      </c>
      <c r="H789">
        <v>40</v>
      </c>
      <c r="I789">
        <v>20</v>
      </c>
      <c r="J789">
        <v>8.6</v>
      </c>
      <c r="L789">
        <v>2</v>
      </c>
      <c r="N789">
        <v>15</v>
      </c>
      <c r="O789">
        <v>20</v>
      </c>
      <c r="S789">
        <v>3</v>
      </c>
      <c r="T789">
        <v>15</v>
      </c>
      <c r="U789">
        <v>33</v>
      </c>
      <c r="V789">
        <v>1938</v>
      </c>
      <c r="W789">
        <v>15</v>
      </c>
      <c r="X789" t="s">
        <v>155</v>
      </c>
    </row>
    <row r="790" spans="1:24">
      <c r="A790" t="str">
        <f>Hyperlink("https://www.diodes.com/part/view/DMNH4026SSD","DMNH4026SSD")</f>
        <v>DMNH4026SSD</v>
      </c>
      <c r="B790" t="str">
        <f>Hyperlink("https://www.diodes.com/assets/Datasheets/DMNH4026SSD.pdf","DMNH4026SSD Datasheet")</f>
        <v>DMNH4026SSD Datasheet</v>
      </c>
      <c r="C790" t="s">
        <v>702</v>
      </c>
      <c r="D790" t="s">
        <v>25</v>
      </c>
      <c r="E790" t="s">
        <v>26</v>
      </c>
      <c r="F790" t="s">
        <v>35</v>
      </c>
      <c r="G790" t="s">
        <v>28</v>
      </c>
      <c r="H790">
        <v>40</v>
      </c>
      <c r="I790">
        <v>20</v>
      </c>
      <c r="J790">
        <v>7.5</v>
      </c>
      <c r="L790">
        <v>2</v>
      </c>
      <c r="N790">
        <v>24</v>
      </c>
      <c r="O790">
        <v>32</v>
      </c>
      <c r="S790">
        <v>3</v>
      </c>
      <c r="T790">
        <v>8.8</v>
      </c>
      <c r="U790">
        <v>19.1</v>
      </c>
      <c r="V790">
        <v>1060</v>
      </c>
      <c r="W790">
        <v>20</v>
      </c>
      <c r="X790" t="s">
        <v>155</v>
      </c>
    </row>
    <row r="791" spans="1:24">
      <c r="A791" t="str">
        <f>Hyperlink("https://www.diodes.com/part/view/DMNH4026SSDQ","DMNH4026SSDQ")</f>
        <v>DMNH4026SSDQ</v>
      </c>
      <c r="B791" t="str">
        <f>Hyperlink("https://www.diodes.com/assets/Datasheets/DMNH4026SSDQ.pdf","DMNH4026SSDQ Datasheet")</f>
        <v>DMNH4026SSDQ Datasheet</v>
      </c>
      <c r="C791" t="s">
        <v>763</v>
      </c>
      <c r="D791" t="s">
        <v>25</v>
      </c>
      <c r="E791" t="s">
        <v>33</v>
      </c>
      <c r="F791" t="s">
        <v>35</v>
      </c>
      <c r="G791" t="s">
        <v>28</v>
      </c>
      <c r="H791">
        <v>40</v>
      </c>
      <c r="I791">
        <v>20</v>
      </c>
      <c r="J791">
        <v>7.5</v>
      </c>
      <c r="L791">
        <v>2</v>
      </c>
      <c r="N791">
        <v>24</v>
      </c>
      <c r="O791">
        <v>32</v>
      </c>
      <c r="S791">
        <v>3</v>
      </c>
      <c r="T791">
        <v>8.8</v>
      </c>
      <c r="U791">
        <v>19.1</v>
      </c>
      <c r="V791">
        <v>1060</v>
      </c>
      <c r="W791">
        <v>20</v>
      </c>
      <c r="X791" t="s">
        <v>155</v>
      </c>
    </row>
    <row r="792" spans="1:24">
      <c r="A792" t="str">
        <f>Hyperlink("https://www.diodes.com/part/view/DMNH45M7SCT","DMNH45M7SCT")</f>
        <v>DMNH45M7SCT</v>
      </c>
      <c r="B792" t="str">
        <f>Hyperlink("https://www.diodes.com/assets/Datasheets/DMNH45M7SCT.pdf","DMNH45M7SCT Datasheet")</f>
        <v>DMNH45M7SCT Datasheet</v>
      </c>
      <c r="C792" t="s">
        <v>760</v>
      </c>
      <c r="D792" t="s">
        <v>28</v>
      </c>
      <c r="E792" t="s">
        <v>26</v>
      </c>
      <c r="F792" t="s">
        <v>27</v>
      </c>
      <c r="G792" t="s">
        <v>28</v>
      </c>
      <c r="H792">
        <v>40</v>
      </c>
      <c r="I792">
        <v>20</v>
      </c>
      <c r="K792">
        <v>220</v>
      </c>
      <c r="M792">
        <v>240</v>
      </c>
      <c r="N792">
        <v>6</v>
      </c>
      <c r="S792">
        <v>3</v>
      </c>
      <c r="T792">
        <v>31.6</v>
      </c>
      <c r="U792">
        <v>64.7</v>
      </c>
      <c r="V792">
        <v>4043</v>
      </c>
      <c r="W792">
        <v>20</v>
      </c>
      <c r="X792" t="s">
        <v>764</v>
      </c>
    </row>
    <row r="793" spans="1:24">
      <c r="A793" t="str">
        <f>Hyperlink("https://www.diodes.com/part/view/DMNH6008SCT","DMNH6008SCT")</f>
        <v>DMNH6008SCT</v>
      </c>
      <c r="B793" t="str">
        <f>Hyperlink("https://www.diodes.com/assets/Datasheets/DMNH6008SCT.pdf","DMNH6008SCT Datasheet")</f>
        <v>DMNH6008SCT Datasheet</v>
      </c>
      <c r="C793" t="s">
        <v>765</v>
      </c>
      <c r="D793" t="s">
        <v>25</v>
      </c>
      <c r="E793" t="s">
        <v>26</v>
      </c>
      <c r="F793" t="s">
        <v>27</v>
      </c>
      <c r="G793" t="s">
        <v>28</v>
      </c>
      <c r="H793">
        <v>60</v>
      </c>
      <c r="I793">
        <v>20</v>
      </c>
      <c r="K793">
        <v>130</v>
      </c>
      <c r="M793">
        <v>210</v>
      </c>
      <c r="N793">
        <v>8</v>
      </c>
      <c r="S793">
        <v>4</v>
      </c>
      <c r="T793">
        <v>21</v>
      </c>
      <c r="U793">
        <v>40</v>
      </c>
      <c r="V793">
        <v>2596</v>
      </c>
      <c r="W793">
        <v>30</v>
      </c>
      <c r="X793" t="s">
        <v>753</v>
      </c>
    </row>
    <row r="794" spans="1:24">
      <c r="A794" t="str">
        <f>Hyperlink("https://www.diodes.com/part/view/DMNH6008SCTQ","DMNH6008SCTQ")</f>
        <v>DMNH6008SCTQ</v>
      </c>
      <c r="B794" t="str">
        <f>Hyperlink("https://www.diodes.com/assets/Datasheets/DMNH6008SCTQ.pdf","DMNH6008SCTQ Datasheet")</f>
        <v>DMNH6008SCTQ Datasheet</v>
      </c>
      <c r="C794" t="s">
        <v>766</v>
      </c>
      <c r="D794" t="s">
        <v>25</v>
      </c>
      <c r="E794" t="s">
        <v>33</v>
      </c>
      <c r="F794" t="s">
        <v>27</v>
      </c>
      <c r="G794" t="s">
        <v>28</v>
      </c>
      <c r="H794">
        <v>60</v>
      </c>
      <c r="I794">
        <v>20</v>
      </c>
      <c r="K794">
        <v>130</v>
      </c>
      <c r="M794">
        <v>210</v>
      </c>
      <c r="N794">
        <v>8</v>
      </c>
      <c r="S794">
        <v>4</v>
      </c>
      <c r="T794">
        <v>21</v>
      </c>
      <c r="U794">
        <v>40</v>
      </c>
      <c r="V794">
        <v>2596</v>
      </c>
      <c r="W794">
        <v>30</v>
      </c>
      <c r="X794" t="s">
        <v>753</v>
      </c>
    </row>
    <row r="795" spans="1:24">
      <c r="A795" t="str">
        <f>Hyperlink("https://www.diodes.com/part/view/DMNH6008SPS","DMNH6008SPS")</f>
        <v>DMNH6008SPS</v>
      </c>
      <c r="B795" t="str">
        <f>Hyperlink("https://www.diodes.com/assets/Datasheets/DMNH6008SPS.pdf","DMNH6008SPS Datasheet")</f>
        <v>DMNH6008SPS Datasheet</v>
      </c>
      <c r="C795" t="s">
        <v>766</v>
      </c>
      <c r="D795" t="s">
        <v>25</v>
      </c>
      <c r="E795" t="s">
        <v>26</v>
      </c>
      <c r="F795" t="s">
        <v>27</v>
      </c>
      <c r="G795" t="s">
        <v>28</v>
      </c>
      <c r="H795">
        <v>60</v>
      </c>
      <c r="I795">
        <v>20</v>
      </c>
      <c r="J795">
        <v>16.5</v>
      </c>
      <c r="K795">
        <v>88</v>
      </c>
      <c r="L795">
        <v>3.3</v>
      </c>
      <c r="N795">
        <v>8</v>
      </c>
      <c r="S795">
        <v>4</v>
      </c>
      <c r="T795">
        <v>21.2</v>
      </c>
      <c r="U795">
        <v>40.1</v>
      </c>
      <c r="V795">
        <v>2594</v>
      </c>
      <c r="W795">
        <v>30</v>
      </c>
      <c r="X795" t="s">
        <v>617</v>
      </c>
    </row>
    <row r="796" spans="1:24">
      <c r="A796" t="str">
        <f>Hyperlink("https://www.diodes.com/part/view/DMNH6008SPSQ","DMNH6008SPSQ")</f>
        <v>DMNH6008SPSQ</v>
      </c>
      <c r="B796" t="str">
        <f>Hyperlink("https://www.diodes.com/assets/Datasheets/DMNH6008SPSQ.pdf","DMNH6008SPSQ Datasheet")</f>
        <v>DMNH6008SPSQ Datasheet</v>
      </c>
      <c r="C796" t="s">
        <v>765</v>
      </c>
      <c r="D796" t="s">
        <v>25</v>
      </c>
      <c r="E796" t="s">
        <v>33</v>
      </c>
      <c r="F796" t="s">
        <v>27</v>
      </c>
      <c r="G796" t="s">
        <v>28</v>
      </c>
      <c r="H796">
        <v>60</v>
      </c>
      <c r="I796">
        <v>20</v>
      </c>
      <c r="J796">
        <v>16.5</v>
      </c>
      <c r="K796">
        <v>88</v>
      </c>
      <c r="L796">
        <v>3.3</v>
      </c>
      <c r="N796">
        <v>8</v>
      </c>
      <c r="S796">
        <v>4</v>
      </c>
      <c r="T796">
        <v>21.2</v>
      </c>
      <c r="U796">
        <v>40.1</v>
      </c>
      <c r="V796">
        <v>2597</v>
      </c>
      <c r="W796">
        <v>30</v>
      </c>
      <c r="X796" t="s">
        <v>617</v>
      </c>
    </row>
    <row r="797" spans="1:24">
      <c r="A797" t="str">
        <f>Hyperlink("https://www.diodes.com/part/view/DMNH6008SPSWQ","DMNH6008SPSWQ")</f>
        <v>DMNH6008SPSWQ</v>
      </c>
      <c r="B797" t="str">
        <f>Hyperlink("https://www.diodes.com/assets/Datasheets/DMNH6008SPSWQ.pdf","DMNH6008SPSWQ Datasheet")</f>
        <v>DMNH6008SPSWQ Datasheet</v>
      </c>
      <c r="C797" t="s">
        <v>767</v>
      </c>
      <c r="D797" t="s">
        <v>25</v>
      </c>
      <c r="E797" t="s">
        <v>33</v>
      </c>
      <c r="F797" t="s">
        <v>27</v>
      </c>
      <c r="G797" t="s">
        <v>28</v>
      </c>
      <c r="H797">
        <v>60</v>
      </c>
      <c r="I797">
        <v>20</v>
      </c>
      <c r="J797">
        <v>16.5</v>
      </c>
      <c r="K797">
        <v>88</v>
      </c>
      <c r="L797">
        <v>3.3</v>
      </c>
      <c r="N797">
        <v>8</v>
      </c>
      <c r="R797">
        <v>2</v>
      </c>
      <c r="S797">
        <v>4</v>
      </c>
      <c r="T797">
        <v>21.2</v>
      </c>
      <c r="U797">
        <v>40.1</v>
      </c>
      <c r="V797">
        <v>2597</v>
      </c>
      <c r="W797">
        <v>30</v>
      </c>
      <c r="X797" t="s">
        <v>757</v>
      </c>
    </row>
    <row r="798" spans="1:24">
      <c r="A798" t="str">
        <f>Hyperlink("https://www.diodes.com/part/view/DMNH6009SPS","DMNH6009SPS")</f>
        <v>DMNH6009SPS</v>
      </c>
      <c r="B798" t="str">
        <f>Hyperlink("https://www.diodes.com/assets/Datasheets/DMNH6009SPS.pdf","DMNH6009SPS Datasheet")</f>
        <v>DMNH6009SPS Datasheet</v>
      </c>
      <c r="C798" t="s">
        <v>766</v>
      </c>
      <c r="D798" t="s">
        <v>28</v>
      </c>
      <c r="E798" t="s">
        <v>26</v>
      </c>
      <c r="F798" t="s">
        <v>27</v>
      </c>
      <c r="G798" t="s">
        <v>28</v>
      </c>
      <c r="H798">
        <v>60</v>
      </c>
      <c r="I798">
        <v>20</v>
      </c>
      <c r="K798">
        <v>95</v>
      </c>
      <c r="L798">
        <v>3.3</v>
      </c>
      <c r="N798">
        <v>7.3</v>
      </c>
      <c r="O798">
        <v>15</v>
      </c>
      <c r="S798">
        <v>3</v>
      </c>
      <c r="T798">
        <v>18.5</v>
      </c>
      <c r="U798">
        <v>37.3</v>
      </c>
      <c r="V798">
        <v>1882</v>
      </c>
      <c r="W798">
        <v>30</v>
      </c>
      <c r="X798" t="s">
        <v>617</v>
      </c>
    </row>
    <row r="799" spans="1:24">
      <c r="A799" t="str">
        <f>Hyperlink("https://www.diodes.com/part/view/DMNH6010SCTB","DMNH6010SCTB")</f>
        <v>DMNH6010SCTB</v>
      </c>
      <c r="B799" t="str">
        <f>Hyperlink("https://www.diodes.com/assets/Datasheets/DMNH6010SCTB.pdf","DMNH6010SCTB Datasheet")</f>
        <v>DMNH6010SCTB Datasheet</v>
      </c>
      <c r="C799" t="s">
        <v>766</v>
      </c>
      <c r="D799" t="s">
        <v>25</v>
      </c>
      <c r="E799" t="s">
        <v>26</v>
      </c>
      <c r="F799" t="s">
        <v>27</v>
      </c>
      <c r="G799" t="s">
        <v>28</v>
      </c>
      <c r="H799">
        <v>60</v>
      </c>
      <c r="I799">
        <v>20</v>
      </c>
      <c r="K799">
        <v>133</v>
      </c>
      <c r="M799">
        <v>375</v>
      </c>
      <c r="N799">
        <v>10</v>
      </c>
      <c r="R799">
        <v>2</v>
      </c>
      <c r="S799">
        <v>4</v>
      </c>
      <c r="U799">
        <v>46</v>
      </c>
      <c r="V799">
        <v>2692</v>
      </c>
      <c r="W799">
        <v>25</v>
      </c>
      <c r="X799" t="s">
        <v>722</v>
      </c>
    </row>
    <row r="800" spans="1:24">
      <c r="A800" t="str">
        <f>Hyperlink("https://www.diodes.com/part/view/DMNH6010SCTBQ","DMNH6010SCTBQ")</f>
        <v>DMNH6010SCTBQ</v>
      </c>
      <c r="B800" t="str">
        <f>Hyperlink("https://www.diodes.com/assets/Datasheets/DMNH6010SCTBQ.pdf","DMNH6010SCTBQ Datasheet")</f>
        <v>DMNH6010SCTBQ Datasheet</v>
      </c>
      <c r="C800" t="s">
        <v>766</v>
      </c>
      <c r="D800" t="s">
        <v>25</v>
      </c>
      <c r="E800" t="s">
        <v>33</v>
      </c>
      <c r="F800" t="s">
        <v>27</v>
      </c>
      <c r="G800" t="s">
        <v>28</v>
      </c>
      <c r="H800">
        <v>60</v>
      </c>
      <c r="I800">
        <v>20</v>
      </c>
      <c r="K800">
        <v>133</v>
      </c>
      <c r="M800">
        <v>375</v>
      </c>
      <c r="N800">
        <v>10</v>
      </c>
      <c r="R800">
        <v>2</v>
      </c>
      <c r="S800">
        <v>4</v>
      </c>
      <c r="U800">
        <v>46</v>
      </c>
      <c r="V800">
        <v>2692</v>
      </c>
      <c r="W800">
        <v>25</v>
      </c>
      <c r="X800" t="s">
        <v>722</v>
      </c>
    </row>
    <row r="801" spans="1:24">
      <c r="A801" t="str">
        <f>Hyperlink("https://www.diodes.com/part/view/DMNH6011LK3","DMNH6011LK3")</f>
        <v>DMNH6011LK3</v>
      </c>
      <c r="B801" t="str">
        <f>Hyperlink("https://www.diodes.com/assets/Datasheets/DMNH6011LK3.pdf","DMNH6011LK3 Datasheet")</f>
        <v>DMNH6011LK3 Datasheet</v>
      </c>
      <c r="C801" t="s">
        <v>24</v>
      </c>
      <c r="D801" t="s">
        <v>25</v>
      </c>
      <c r="E801" t="s">
        <v>26</v>
      </c>
      <c r="F801" t="s">
        <v>27</v>
      </c>
      <c r="G801" t="s">
        <v>28</v>
      </c>
      <c r="H801">
        <v>55</v>
      </c>
      <c r="I801">
        <v>12</v>
      </c>
      <c r="K801">
        <v>80</v>
      </c>
      <c r="L801">
        <v>3</v>
      </c>
      <c r="N801">
        <v>12</v>
      </c>
      <c r="O801">
        <v>18</v>
      </c>
      <c r="S801">
        <v>2</v>
      </c>
      <c r="T801">
        <v>23.4</v>
      </c>
      <c r="U801">
        <v>49.1</v>
      </c>
      <c r="V801">
        <v>2746</v>
      </c>
      <c r="W801">
        <v>30</v>
      </c>
      <c r="X801" t="s">
        <v>507</v>
      </c>
    </row>
    <row r="802" spans="1:24">
      <c r="A802" t="str">
        <f>Hyperlink("https://www.diodes.com/part/view/DMNH6011LK3Q","DMNH6011LK3Q")</f>
        <v>DMNH6011LK3Q</v>
      </c>
      <c r="B802" t="str">
        <f>Hyperlink("https://www.diodes.com/assets/Datasheets/DMNH6011LK3Q.pdf","DMNH6011LK3Q Datasheet")</f>
        <v>DMNH6011LK3Q Datasheet</v>
      </c>
      <c r="C802" t="s">
        <v>768</v>
      </c>
      <c r="D802" t="s">
        <v>25</v>
      </c>
      <c r="E802" t="s">
        <v>33</v>
      </c>
      <c r="F802" t="s">
        <v>27</v>
      </c>
      <c r="G802" t="s">
        <v>28</v>
      </c>
      <c r="H802">
        <v>55</v>
      </c>
      <c r="I802">
        <v>12</v>
      </c>
      <c r="K802">
        <v>80</v>
      </c>
      <c r="L802">
        <v>3</v>
      </c>
      <c r="N802">
        <v>12</v>
      </c>
      <c r="O802">
        <v>18</v>
      </c>
      <c r="S802">
        <v>2</v>
      </c>
      <c r="T802">
        <v>23.4</v>
      </c>
      <c r="U802">
        <v>49.1</v>
      </c>
      <c r="V802">
        <v>2746</v>
      </c>
      <c r="W802">
        <v>30</v>
      </c>
      <c r="X802" t="s">
        <v>507</v>
      </c>
    </row>
    <row r="803" spans="1:24">
      <c r="A803" t="str">
        <f>Hyperlink("https://www.diodes.com/part/view/DMNH6012LK3","DMNH6012LK3")</f>
        <v>DMNH6012LK3</v>
      </c>
      <c r="B803" t="str">
        <f>Hyperlink("https://www.diodes.com/assets/Datasheets/DMNH6012LK3.pdf","DMNH6012LK3 Datasheet")</f>
        <v>DMNH6012LK3 Datasheet</v>
      </c>
      <c r="C803" t="s">
        <v>765</v>
      </c>
      <c r="D803" t="s">
        <v>25</v>
      </c>
      <c r="E803" t="s">
        <v>26</v>
      </c>
      <c r="F803" t="s">
        <v>27</v>
      </c>
      <c r="G803" t="s">
        <v>28</v>
      </c>
      <c r="H803">
        <v>60</v>
      </c>
      <c r="I803">
        <v>20</v>
      </c>
      <c r="K803">
        <v>60</v>
      </c>
      <c r="L803">
        <v>3.8</v>
      </c>
      <c r="N803">
        <v>12</v>
      </c>
      <c r="O803">
        <v>18</v>
      </c>
      <c r="S803">
        <v>3</v>
      </c>
      <c r="T803">
        <v>16.3</v>
      </c>
      <c r="U803">
        <v>35.2</v>
      </c>
      <c r="V803">
        <v>1926</v>
      </c>
      <c r="W803">
        <v>30</v>
      </c>
      <c r="X803" t="s">
        <v>507</v>
      </c>
    </row>
    <row r="804" spans="1:24">
      <c r="A804" t="str">
        <f>Hyperlink("https://www.diodes.com/part/view/DMNH6012LK3Q","DMNH6012LK3Q")</f>
        <v>DMNH6012LK3Q</v>
      </c>
      <c r="B804" t="str">
        <f>Hyperlink("https://www.diodes.com/assets/Datasheets/DMNH6012LK3Q.pdf","DMNH6012LK3Q Datasheet")</f>
        <v>DMNH6012LK3Q Datasheet</v>
      </c>
      <c r="C804" t="s">
        <v>766</v>
      </c>
      <c r="D804" t="s">
        <v>25</v>
      </c>
      <c r="E804" t="s">
        <v>33</v>
      </c>
      <c r="F804" t="s">
        <v>27</v>
      </c>
      <c r="G804" t="s">
        <v>28</v>
      </c>
      <c r="H804">
        <v>60</v>
      </c>
      <c r="I804">
        <v>20</v>
      </c>
      <c r="K804">
        <v>80</v>
      </c>
      <c r="L804">
        <v>3.8</v>
      </c>
      <c r="N804">
        <v>12</v>
      </c>
      <c r="O804">
        <v>18</v>
      </c>
      <c r="S804">
        <v>3</v>
      </c>
      <c r="T804">
        <v>16.3</v>
      </c>
      <c r="U804">
        <v>35.2</v>
      </c>
      <c r="V804">
        <v>1926</v>
      </c>
      <c r="W804">
        <v>30</v>
      </c>
      <c r="X804" t="s">
        <v>507</v>
      </c>
    </row>
    <row r="805" spans="1:24">
      <c r="A805" t="str">
        <f>Hyperlink("https://www.diodes.com/part/view/DMNH6012SPS","DMNH6012SPS")</f>
        <v>DMNH6012SPS</v>
      </c>
      <c r="B805" t="str">
        <f>Hyperlink("https://www.diodes.com/assets/Datasheets/DMNH6012SPS.pdf","DMNH6012SPS Datasheet")</f>
        <v>DMNH6012SPS Datasheet</v>
      </c>
      <c r="C805" t="s">
        <v>766</v>
      </c>
      <c r="D805" t="s">
        <v>25</v>
      </c>
      <c r="E805" t="s">
        <v>26</v>
      </c>
      <c r="F805" t="s">
        <v>27</v>
      </c>
      <c r="G805" t="s">
        <v>28</v>
      </c>
      <c r="H805">
        <v>60</v>
      </c>
      <c r="I805">
        <v>20</v>
      </c>
      <c r="K805">
        <v>50</v>
      </c>
      <c r="L805">
        <v>3.1</v>
      </c>
      <c r="N805">
        <v>11</v>
      </c>
      <c r="S805">
        <v>4</v>
      </c>
      <c r="T805">
        <v>16.3</v>
      </c>
      <c r="U805">
        <v>35.2</v>
      </c>
      <c r="V805">
        <v>1926</v>
      </c>
      <c r="W805">
        <v>30</v>
      </c>
      <c r="X805" t="s">
        <v>617</v>
      </c>
    </row>
    <row r="806" spans="1:24">
      <c r="A806" t="str">
        <f>Hyperlink("https://www.diodes.com/part/view/DMNH6012SPSQ","DMNH6012SPSQ")</f>
        <v>DMNH6012SPSQ</v>
      </c>
      <c r="B806" t="str">
        <f>Hyperlink("https://www.diodes.com/assets/Datasheets/DMNH6012SPSQ.pdf","DMNH6012SPSQ Datasheet")</f>
        <v>DMNH6012SPSQ Datasheet</v>
      </c>
      <c r="C806" t="s">
        <v>766</v>
      </c>
      <c r="D806" t="s">
        <v>25</v>
      </c>
      <c r="E806" t="s">
        <v>33</v>
      </c>
      <c r="F806" t="s">
        <v>27</v>
      </c>
      <c r="G806" t="s">
        <v>28</v>
      </c>
      <c r="H806">
        <v>60</v>
      </c>
      <c r="I806">
        <v>20</v>
      </c>
      <c r="K806">
        <v>50</v>
      </c>
      <c r="L806">
        <v>3.1</v>
      </c>
      <c r="N806">
        <v>11</v>
      </c>
      <c r="S806">
        <v>4</v>
      </c>
      <c r="T806">
        <v>16.3</v>
      </c>
      <c r="U806">
        <v>35.2</v>
      </c>
      <c r="V806">
        <v>1926</v>
      </c>
      <c r="W806">
        <v>30</v>
      </c>
      <c r="X806" t="s">
        <v>617</v>
      </c>
    </row>
    <row r="807" spans="1:24">
      <c r="A807" t="str">
        <f>Hyperlink("https://www.diodes.com/part/view/DMNH6012SPSWQ","DMNH6012SPSWQ")</f>
        <v>DMNH6012SPSWQ</v>
      </c>
      <c r="B807" t="str">
        <f>Hyperlink("https://www.diodes.com/assets/Datasheets/DMNH6012SPSWQ.pdf","DMNH6012SPSWQ Datasheet")</f>
        <v>DMNH6012SPSWQ Datasheet</v>
      </c>
      <c r="C807" t="s">
        <v>767</v>
      </c>
      <c r="D807" t="s">
        <v>25</v>
      </c>
      <c r="E807" t="s">
        <v>33</v>
      </c>
      <c r="F807" t="s">
        <v>27</v>
      </c>
      <c r="G807" t="s">
        <v>28</v>
      </c>
      <c r="H807">
        <v>60</v>
      </c>
      <c r="I807">
        <v>20</v>
      </c>
      <c r="K807">
        <v>50</v>
      </c>
      <c r="L807">
        <v>3.1</v>
      </c>
      <c r="N807">
        <v>11</v>
      </c>
      <c r="R807">
        <v>2</v>
      </c>
      <c r="S807">
        <v>4</v>
      </c>
      <c r="T807">
        <v>16.3</v>
      </c>
      <c r="U807">
        <v>35.2</v>
      </c>
      <c r="V807">
        <v>1926</v>
      </c>
      <c r="W807">
        <v>30</v>
      </c>
      <c r="X807" t="s">
        <v>757</v>
      </c>
    </row>
    <row r="808" spans="1:24">
      <c r="A808" t="str">
        <f>Hyperlink("https://www.diodes.com/part/view/DMNH6021SK3","DMNH6021SK3")</f>
        <v>DMNH6021SK3</v>
      </c>
      <c r="B808" t="str">
        <f>Hyperlink("https://www.diodes.com/assets/Datasheets/DMNH6021SK3.pdf","DMNH6021SK3 Datasheet")</f>
        <v>DMNH6021SK3 Datasheet</v>
      </c>
      <c r="C808" t="s">
        <v>766</v>
      </c>
      <c r="D808" t="s">
        <v>25</v>
      </c>
      <c r="E808" t="s">
        <v>26</v>
      </c>
      <c r="F808" t="s">
        <v>27</v>
      </c>
      <c r="G808" t="s">
        <v>28</v>
      </c>
      <c r="H808">
        <v>60</v>
      </c>
      <c r="I808">
        <v>20</v>
      </c>
      <c r="K808">
        <v>50</v>
      </c>
      <c r="L808">
        <v>3.7</v>
      </c>
      <c r="N808">
        <v>23</v>
      </c>
      <c r="O808">
        <v>28</v>
      </c>
      <c r="S808">
        <v>3</v>
      </c>
      <c r="T808">
        <v>12.1</v>
      </c>
      <c r="U808">
        <v>20.1</v>
      </c>
      <c r="V808">
        <v>1143</v>
      </c>
      <c r="W808">
        <v>25</v>
      </c>
      <c r="X808" t="s">
        <v>507</v>
      </c>
    </row>
    <row r="809" spans="1:24">
      <c r="A809" t="str">
        <f>Hyperlink("https://www.diodes.com/part/view/DMNH6021SK3Q","DMNH6021SK3Q")</f>
        <v>DMNH6021SK3Q</v>
      </c>
      <c r="B809" t="str">
        <f>Hyperlink("https://www.diodes.com/assets/Datasheets/DMNH6021SK3Q.pdf","DMNH6021SK3Q Datasheet")</f>
        <v>DMNH6021SK3Q Datasheet</v>
      </c>
      <c r="C809" t="s">
        <v>766</v>
      </c>
      <c r="D809" t="s">
        <v>25</v>
      </c>
      <c r="E809" t="s">
        <v>33</v>
      </c>
      <c r="F809" t="s">
        <v>27</v>
      </c>
      <c r="G809" t="s">
        <v>28</v>
      </c>
      <c r="H809">
        <v>60</v>
      </c>
      <c r="I809">
        <v>20</v>
      </c>
      <c r="K809">
        <v>50</v>
      </c>
      <c r="L809">
        <v>3.7</v>
      </c>
      <c r="N809">
        <v>23</v>
      </c>
      <c r="O809">
        <v>28</v>
      </c>
      <c r="S809">
        <v>3</v>
      </c>
      <c r="T809">
        <v>12.1</v>
      </c>
      <c r="U809">
        <v>20.1</v>
      </c>
      <c r="V809">
        <v>1143</v>
      </c>
      <c r="W809">
        <v>25</v>
      </c>
      <c r="X809" t="s">
        <v>507</v>
      </c>
    </row>
    <row r="810" spans="1:24">
      <c r="A810" t="str">
        <f>Hyperlink("https://www.diodes.com/part/view/DMNH6021SPD","DMNH6021SPD")</f>
        <v>DMNH6021SPD</v>
      </c>
      <c r="B810" t="str">
        <f>Hyperlink("https://www.diodes.com/assets/Datasheets/DMNH6021SPD.pdf","DMNH6021SPD Datasheet")</f>
        <v>DMNH6021SPD Datasheet</v>
      </c>
      <c r="C810" t="s">
        <v>769</v>
      </c>
      <c r="D810" t="s">
        <v>25</v>
      </c>
      <c r="E810" t="s">
        <v>26</v>
      </c>
      <c r="F810" t="s">
        <v>35</v>
      </c>
      <c r="G810" t="s">
        <v>28</v>
      </c>
      <c r="H810">
        <v>60</v>
      </c>
      <c r="I810">
        <v>20</v>
      </c>
      <c r="J810">
        <v>8.2</v>
      </c>
      <c r="K810">
        <v>32</v>
      </c>
      <c r="L810">
        <v>2.8</v>
      </c>
      <c r="N810">
        <v>25</v>
      </c>
      <c r="O810">
        <v>40</v>
      </c>
      <c r="S810">
        <v>3</v>
      </c>
      <c r="U810">
        <v>20.1</v>
      </c>
      <c r="V810">
        <v>1143</v>
      </c>
      <c r="W810">
        <v>25</v>
      </c>
      <c r="X810" t="s">
        <v>93</v>
      </c>
    </row>
    <row r="811" spans="1:24">
      <c r="A811" t="str">
        <f>Hyperlink("https://www.diodes.com/part/view/DMNH6021SPDQ","DMNH6021SPDQ")</f>
        <v>DMNH6021SPDQ</v>
      </c>
      <c r="B811" t="str">
        <f>Hyperlink("https://www.diodes.com/assets/Datasheets/DMNH6021SPDQ.pdf","DMNH6021SPDQ Datasheet")</f>
        <v>DMNH6021SPDQ Datasheet</v>
      </c>
      <c r="C811" t="s">
        <v>769</v>
      </c>
      <c r="D811" t="s">
        <v>25</v>
      </c>
      <c r="E811" t="s">
        <v>33</v>
      </c>
      <c r="F811" t="s">
        <v>35</v>
      </c>
      <c r="G811" t="s">
        <v>28</v>
      </c>
      <c r="H811">
        <v>60</v>
      </c>
      <c r="I811">
        <v>20</v>
      </c>
      <c r="J811">
        <v>8.2</v>
      </c>
      <c r="K811">
        <v>32</v>
      </c>
      <c r="L811">
        <v>2.8</v>
      </c>
      <c r="N811">
        <v>25</v>
      </c>
      <c r="O811">
        <v>40</v>
      </c>
      <c r="S811">
        <v>3</v>
      </c>
      <c r="U811">
        <v>20.1</v>
      </c>
      <c r="V811">
        <v>1143</v>
      </c>
      <c r="W811">
        <v>25</v>
      </c>
      <c r="X811" t="s">
        <v>93</v>
      </c>
    </row>
    <row r="812" spans="1:24">
      <c r="A812" t="str">
        <f>Hyperlink("https://www.diodes.com/part/view/DMNH6021SPDW","DMNH6021SPDW")</f>
        <v>DMNH6021SPDW</v>
      </c>
      <c r="B812" t="str">
        <f>Hyperlink("https://www.diodes.com/assets/Datasheets/DMNH6021SPDW.pdf","DMNH6021SPDW Datasheet")</f>
        <v>DMNH6021SPDW Datasheet</v>
      </c>
      <c r="C812" t="s">
        <v>38</v>
      </c>
      <c r="D812" t="s">
        <v>28</v>
      </c>
      <c r="E812" t="s">
        <v>26</v>
      </c>
      <c r="F812" t="s">
        <v>35</v>
      </c>
      <c r="G812" t="s">
        <v>28</v>
      </c>
      <c r="H812">
        <v>60</v>
      </c>
      <c r="I812">
        <v>20</v>
      </c>
      <c r="J812">
        <v>8.2</v>
      </c>
      <c r="K812">
        <v>32</v>
      </c>
      <c r="L812">
        <v>2.8</v>
      </c>
      <c r="N812">
        <v>25</v>
      </c>
      <c r="O812">
        <v>40</v>
      </c>
      <c r="S812">
        <v>3</v>
      </c>
      <c r="U812">
        <v>20.1</v>
      </c>
      <c r="V812">
        <v>1143</v>
      </c>
      <c r="W812">
        <v>25</v>
      </c>
      <c r="X812" t="s">
        <v>617</v>
      </c>
    </row>
    <row r="813" spans="1:24">
      <c r="A813" t="str">
        <f>Hyperlink("https://www.diodes.com/part/view/DMNH6021SPDWQ","DMNH6021SPDWQ")</f>
        <v>DMNH6021SPDWQ</v>
      </c>
      <c r="B813" t="str">
        <f>Hyperlink("https://www.diodes.com/assets/Datasheets/DMNH6021SPDWQ.pdf","DMNH6021SPDWQ Datasheet")</f>
        <v>DMNH6021SPDWQ Datasheet</v>
      </c>
      <c r="C813" t="s">
        <v>766</v>
      </c>
      <c r="D813" t="s">
        <v>25</v>
      </c>
      <c r="E813" t="s">
        <v>33</v>
      </c>
      <c r="F813" t="s">
        <v>35</v>
      </c>
      <c r="G813" t="s">
        <v>28</v>
      </c>
      <c r="H813">
        <v>60</v>
      </c>
      <c r="I813">
        <v>20</v>
      </c>
      <c r="J813">
        <v>8.2</v>
      </c>
      <c r="K813">
        <v>32</v>
      </c>
      <c r="L813">
        <v>2.8</v>
      </c>
      <c r="N813">
        <v>25</v>
      </c>
      <c r="O813">
        <v>40</v>
      </c>
      <c r="S813">
        <v>3</v>
      </c>
      <c r="U813">
        <v>20.1</v>
      </c>
      <c r="V813">
        <v>1143</v>
      </c>
      <c r="W813">
        <v>25</v>
      </c>
      <c r="X813" t="s">
        <v>617</v>
      </c>
    </row>
    <row r="814" spans="1:24">
      <c r="A814" t="str">
        <f>Hyperlink("https://www.diodes.com/part/view/DMNH6021SPS","DMNH6021SPS")</f>
        <v>DMNH6021SPS</v>
      </c>
      <c r="B814" t="str">
        <f>Hyperlink("https://www.diodes.com/assets/Datasheets/DMNH6021SPS.pdf","DMNH6021SPS Datasheet")</f>
        <v>DMNH6021SPS Datasheet</v>
      </c>
      <c r="C814" t="s">
        <v>765</v>
      </c>
      <c r="D814" t="s">
        <v>25</v>
      </c>
      <c r="E814" t="s">
        <v>26</v>
      </c>
      <c r="F814" t="s">
        <v>27</v>
      </c>
      <c r="G814" t="s">
        <v>28</v>
      </c>
      <c r="H814">
        <v>60</v>
      </c>
      <c r="I814">
        <v>20</v>
      </c>
      <c r="K814">
        <v>55</v>
      </c>
      <c r="L814">
        <v>3</v>
      </c>
      <c r="M814">
        <v>53</v>
      </c>
      <c r="N814">
        <v>23</v>
      </c>
      <c r="O814">
        <v>28</v>
      </c>
      <c r="S814">
        <v>3</v>
      </c>
      <c r="T814">
        <v>9.5</v>
      </c>
      <c r="U814">
        <v>19.7</v>
      </c>
      <c r="V814">
        <v>1016</v>
      </c>
      <c r="W814">
        <v>30</v>
      </c>
      <c r="X814" t="s">
        <v>617</v>
      </c>
    </row>
    <row r="815" spans="1:24">
      <c r="A815" t="str">
        <f>Hyperlink("https://www.diodes.com/part/view/DMNH6021SPSQ","DMNH6021SPSQ")</f>
        <v>DMNH6021SPSQ</v>
      </c>
      <c r="B815" t="str">
        <f>Hyperlink("https://www.diodes.com/assets/Datasheets/DMNH6021SPSQ.pdf","DMNH6021SPSQ Datasheet")</f>
        <v>DMNH6021SPSQ Datasheet</v>
      </c>
      <c r="C815" t="s">
        <v>766</v>
      </c>
      <c r="D815" t="s">
        <v>25</v>
      </c>
      <c r="E815" t="s">
        <v>33</v>
      </c>
      <c r="F815" t="s">
        <v>27</v>
      </c>
      <c r="G815" t="s">
        <v>28</v>
      </c>
      <c r="H815">
        <v>60</v>
      </c>
      <c r="I815">
        <v>20</v>
      </c>
      <c r="K815">
        <v>55</v>
      </c>
      <c r="L815">
        <v>3</v>
      </c>
      <c r="M815">
        <v>53</v>
      </c>
      <c r="N815">
        <v>23</v>
      </c>
      <c r="O815">
        <v>28</v>
      </c>
      <c r="S815">
        <v>3</v>
      </c>
      <c r="T815">
        <v>9.5</v>
      </c>
      <c r="U815">
        <v>19.7</v>
      </c>
      <c r="V815">
        <v>1016</v>
      </c>
      <c r="W815">
        <v>30</v>
      </c>
      <c r="X815" t="s">
        <v>617</v>
      </c>
    </row>
    <row r="816" spans="1:24">
      <c r="A816" t="str">
        <f>Hyperlink("https://www.diodes.com/part/view/DMNH6021SPSW","DMNH6021SPSW")</f>
        <v>DMNH6021SPSW</v>
      </c>
      <c r="B816" t="str">
        <f>Hyperlink("https://www.diodes.com/assets/Datasheets/DMNH6021SPSW.pdf","DMNH6021SPSW Datasheet")</f>
        <v>DMNH6021SPSW Datasheet</v>
      </c>
      <c r="C816" t="s">
        <v>766</v>
      </c>
      <c r="D816" t="s">
        <v>28</v>
      </c>
      <c r="E816" t="s">
        <v>26</v>
      </c>
      <c r="F816" t="s">
        <v>27</v>
      </c>
      <c r="G816" t="s">
        <v>28</v>
      </c>
      <c r="H816">
        <v>60</v>
      </c>
      <c r="I816">
        <v>20</v>
      </c>
      <c r="K816">
        <v>44</v>
      </c>
      <c r="L816">
        <v>3</v>
      </c>
      <c r="M816">
        <v>44</v>
      </c>
      <c r="N816">
        <v>23</v>
      </c>
      <c r="O816">
        <v>28</v>
      </c>
      <c r="S816">
        <v>3</v>
      </c>
      <c r="T816">
        <v>9.7</v>
      </c>
      <c r="U816">
        <v>20.1</v>
      </c>
      <c r="V816">
        <v>1132</v>
      </c>
      <c r="W816">
        <v>30</v>
      </c>
      <c r="X816" t="s">
        <v>617</v>
      </c>
    </row>
    <row r="817" spans="1:24">
      <c r="A817" t="str">
        <f>Hyperlink("https://www.diodes.com/part/view/DMNH6021SPSWQ","DMNH6021SPSWQ")</f>
        <v>DMNH6021SPSWQ</v>
      </c>
      <c r="B817" t="str">
        <f>Hyperlink("https://www.diodes.com/assets/Datasheets/DMNH6021SPSWQ.pdf","DMNH6021SPSWQ Datasheet")</f>
        <v>DMNH6021SPSWQ Datasheet</v>
      </c>
      <c r="C817" t="s">
        <v>766</v>
      </c>
      <c r="D817" t="s">
        <v>25</v>
      </c>
      <c r="E817" t="s">
        <v>33</v>
      </c>
      <c r="F817" t="s">
        <v>27</v>
      </c>
      <c r="G817" t="s">
        <v>28</v>
      </c>
      <c r="H817">
        <v>60</v>
      </c>
      <c r="I817">
        <v>20</v>
      </c>
      <c r="K817">
        <v>44</v>
      </c>
      <c r="L817">
        <v>3</v>
      </c>
      <c r="M817">
        <v>44</v>
      </c>
      <c r="N817">
        <v>23</v>
      </c>
      <c r="O817">
        <v>28</v>
      </c>
      <c r="S817">
        <v>3</v>
      </c>
      <c r="T817">
        <v>9.7</v>
      </c>
      <c r="U817">
        <v>20.1</v>
      </c>
      <c r="V817">
        <v>1132</v>
      </c>
      <c r="W817">
        <v>30</v>
      </c>
      <c r="X817" t="s">
        <v>617</v>
      </c>
    </row>
    <row r="818" spans="1:24">
      <c r="A818" t="str">
        <f>Hyperlink("https://www.diodes.com/part/view/DMNH6022SSD","DMNH6022SSD")</f>
        <v>DMNH6022SSD</v>
      </c>
      <c r="B818" t="str">
        <f>Hyperlink("https://www.diodes.com/assets/Datasheets/DMNH6022SSD.pdf","DMNH6022SSD Datasheet")</f>
        <v>DMNH6022SSD Datasheet</v>
      </c>
      <c r="C818" t="s">
        <v>769</v>
      </c>
      <c r="D818" t="s">
        <v>25</v>
      </c>
      <c r="E818" t="s">
        <v>26</v>
      </c>
      <c r="F818" t="s">
        <v>35</v>
      </c>
      <c r="G818" t="s">
        <v>28</v>
      </c>
      <c r="H818">
        <v>60</v>
      </c>
      <c r="I818">
        <v>20</v>
      </c>
      <c r="J818">
        <v>7.1</v>
      </c>
      <c r="K818">
        <v>22.6</v>
      </c>
      <c r="L818">
        <v>2.1</v>
      </c>
      <c r="N818">
        <v>27</v>
      </c>
      <c r="S818">
        <v>3</v>
      </c>
      <c r="T818">
        <v>14</v>
      </c>
      <c r="U818">
        <v>32</v>
      </c>
      <c r="V818">
        <v>2127</v>
      </c>
      <c r="W818">
        <v>25</v>
      </c>
      <c r="X818" t="s">
        <v>155</v>
      </c>
    </row>
    <row r="819" spans="1:24">
      <c r="A819" t="str">
        <f>Hyperlink("https://www.diodes.com/part/view/DMNH6022SSDQ","DMNH6022SSDQ")</f>
        <v>DMNH6022SSDQ</v>
      </c>
      <c r="B819" t="str">
        <f>Hyperlink("https://www.diodes.com/assets/Datasheets/DMNH6022SSDQ.pdf","DMNH6022SSDQ Datasheet")</f>
        <v>DMNH6022SSDQ Datasheet</v>
      </c>
      <c r="C819" t="s">
        <v>770</v>
      </c>
      <c r="D819" t="s">
        <v>25</v>
      </c>
      <c r="E819" t="s">
        <v>33</v>
      </c>
      <c r="F819" t="s">
        <v>35</v>
      </c>
      <c r="G819" t="s">
        <v>28</v>
      </c>
      <c r="H819">
        <v>60</v>
      </c>
      <c r="I819">
        <v>20</v>
      </c>
      <c r="J819">
        <v>7.1</v>
      </c>
      <c r="K819">
        <v>22.6</v>
      </c>
      <c r="L819">
        <v>2.1</v>
      </c>
      <c r="N819">
        <v>27</v>
      </c>
      <c r="S819">
        <v>3</v>
      </c>
      <c r="T819">
        <v>14</v>
      </c>
      <c r="U819">
        <v>32</v>
      </c>
      <c r="V819">
        <v>2127</v>
      </c>
      <c r="W819">
        <v>25</v>
      </c>
      <c r="X819" t="s">
        <v>155</v>
      </c>
    </row>
    <row r="820" spans="1:24">
      <c r="A820" t="str">
        <f>Hyperlink("https://www.diodes.com/part/view/DMNH6035SPDW","DMNH6035SPDW")</f>
        <v>DMNH6035SPDW</v>
      </c>
      <c r="B820" t="str">
        <f>Hyperlink("https://www.diodes.com/assets/Datasheets/DMNH6035SPDW.pdf","DMNH6035SPDW Datasheet")</f>
        <v>DMNH6035SPDW Datasheet</v>
      </c>
      <c r="C820" t="s">
        <v>765</v>
      </c>
      <c r="D820" t="s">
        <v>25</v>
      </c>
      <c r="E820" t="s">
        <v>26</v>
      </c>
      <c r="F820" t="s">
        <v>35</v>
      </c>
      <c r="G820" t="s">
        <v>28</v>
      </c>
      <c r="H820">
        <v>60</v>
      </c>
      <c r="I820">
        <v>20</v>
      </c>
      <c r="K820">
        <v>33</v>
      </c>
      <c r="L820">
        <v>2.4</v>
      </c>
      <c r="M820">
        <v>68</v>
      </c>
      <c r="N820">
        <v>35</v>
      </c>
      <c r="O820">
        <v>44</v>
      </c>
      <c r="S820">
        <v>3</v>
      </c>
      <c r="U820">
        <v>16</v>
      </c>
      <c r="V820">
        <v>879</v>
      </c>
      <c r="W820">
        <v>25</v>
      </c>
      <c r="X820" t="s">
        <v>617</v>
      </c>
    </row>
    <row r="821" spans="1:24">
      <c r="A821" t="str">
        <f>Hyperlink("https://www.diodes.com/part/view/DMNH6035SPDWQ","DMNH6035SPDWQ")</f>
        <v>DMNH6035SPDWQ</v>
      </c>
      <c r="B821" t="str">
        <f>Hyperlink("https://www.diodes.com/assets/Datasheets/DMNH6035SPDWQ.pdf","DMNH6035SPDWQ Datasheet")</f>
        <v>DMNH6035SPDWQ Datasheet</v>
      </c>
      <c r="C821" t="s">
        <v>771</v>
      </c>
      <c r="D821" t="s">
        <v>25</v>
      </c>
      <c r="E821" t="s">
        <v>33</v>
      </c>
      <c r="F821" t="s">
        <v>35</v>
      </c>
      <c r="G821" t="s">
        <v>28</v>
      </c>
      <c r="H821">
        <v>60</v>
      </c>
      <c r="I821">
        <v>20</v>
      </c>
      <c r="K821">
        <v>33</v>
      </c>
      <c r="L821">
        <v>2.4</v>
      </c>
      <c r="M821">
        <v>68</v>
      </c>
      <c r="N821">
        <v>35</v>
      </c>
      <c r="O821">
        <v>44</v>
      </c>
      <c r="S821">
        <v>3</v>
      </c>
      <c r="U821">
        <v>16</v>
      </c>
      <c r="V821">
        <v>879</v>
      </c>
      <c r="W821">
        <v>25</v>
      </c>
      <c r="X821" t="s">
        <v>590</v>
      </c>
    </row>
    <row r="822" spans="1:24">
      <c r="A822" t="str">
        <f>Hyperlink("https://www.diodes.com/part/view/DMNH6042SK3","DMNH6042SK3")</f>
        <v>DMNH6042SK3</v>
      </c>
      <c r="B822" t="str">
        <f>Hyperlink("https://www.diodes.com/assets/Datasheets/DMNH6042SK3.pdf","DMNH6042SK3 Datasheet")</f>
        <v>DMNH6042SK3 Datasheet</v>
      </c>
      <c r="C822" t="s">
        <v>766</v>
      </c>
      <c r="D822" t="s">
        <v>25</v>
      </c>
      <c r="E822" t="s">
        <v>26</v>
      </c>
      <c r="F822" t="s">
        <v>27</v>
      </c>
      <c r="G822" t="s">
        <v>28</v>
      </c>
      <c r="H822">
        <v>60</v>
      </c>
      <c r="I822">
        <v>20</v>
      </c>
      <c r="K822">
        <v>25</v>
      </c>
      <c r="L822">
        <v>3.5</v>
      </c>
      <c r="N822">
        <v>50</v>
      </c>
      <c r="O822">
        <v>65</v>
      </c>
      <c r="S822">
        <v>3</v>
      </c>
      <c r="T822">
        <v>4.2</v>
      </c>
      <c r="U822">
        <v>8.8</v>
      </c>
      <c r="V822">
        <v>492</v>
      </c>
      <c r="W822">
        <v>25</v>
      </c>
      <c r="X822" t="s">
        <v>507</v>
      </c>
    </row>
    <row r="823" spans="1:24">
      <c r="A823" t="str">
        <f>Hyperlink("https://www.diodes.com/part/view/DMNH6042SK3Q","DMNH6042SK3Q")</f>
        <v>DMNH6042SK3Q</v>
      </c>
      <c r="B823" t="str">
        <f>Hyperlink("https://www.diodes.com/assets/Datasheets/DMNH6042SK3Q.pdf","DMNH6042SK3Q Datasheet")</f>
        <v>DMNH6042SK3Q Datasheet</v>
      </c>
      <c r="C823" t="s">
        <v>766</v>
      </c>
      <c r="D823" t="s">
        <v>25</v>
      </c>
      <c r="E823" t="s">
        <v>33</v>
      </c>
      <c r="F823" t="s">
        <v>27</v>
      </c>
      <c r="G823" t="s">
        <v>28</v>
      </c>
      <c r="H823">
        <v>60</v>
      </c>
      <c r="I823">
        <v>20</v>
      </c>
      <c r="K823">
        <v>25</v>
      </c>
      <c r="L823">
        <v>3.5</v>
      </c>
      <c r="N823">
        <v>50</v>
      </c>
      <c r="O823">
        <v>65</v>
      </c>
      <c r="S823">
        <v>3</v>
      </c>
      <c r="T823">
        <v>4.2</v>
      </c>
      <c r="U823">
        <v>8.8</v>
      </c>
      <c r="V823">
        <v>584</v>
      </c>
      <c r="W823">
        <v>25</v>
      </c>
      <c r="X823" t="s">
        <v>507</v>
      </c>
    </row>
    <row r="824" spans="1:24">
      <c r="A824" t="str">
        <f>Hyperlink("https://www.diodes.com/part/view/DMNH6042SPD","DMNH6042SPD")</f>
        <v>DMNH6042SPD</v>
      </c>
      <c r="B824" t="str">
        <f>Hyperlink("https://www.diodes.com/assets/Datasheets/DMNH6042SPD.pdf","DMNH6042SPD Datasheet")</f>
        <v>DMNH6042SPD Datasheet</v>
      </c>
      <c r="C824" t="s">
        <v>34</v>
      </c>
      <c r="D824" t="s">
        <v>25</v>
      </c>
      <c r="E824" t="s">
        <v>26</v>
      </c>
      <c r="F824" t="s">
        <v>35</v>
      </c>
      <c r="G824" t="s">
        <v>28</v>
      </c>
      <c r="H824">
        <v>60</v>
      </c>
      <c r="I824">
        <v>20</v>
      </c>
      <c r="J824">
        <v>5.7</v>
      </c>
      <c r="K824">
        <v>24</v>
      </c>
      <c r="L824">
        <v>2.5</v>
      </c>
      <c r="N824">
        <v>50</v>
      </c>
      <c r="O824">
        <v>65</v>
      </c>
      <c r="S824">
        <v>3</v>
      </c>
      <c r="T824">
        <v>4.2</v>
      </c>
      <c r="U824">
        <v>8.8</v>
      </c>
      <c r="V824">
        <v>584</v>
      </c>
      <c r="W824">
        <v>25</v>
      </c>
      <c r="X824" t="s">
        <v>93</v>
      </c>
    </row>
    <row r="825" spans="1:24">
      <c r="A825" t="str">
        <f>Hyperlink("https://www.diodes.com/part/view/DMNH6042SPDQ","DMNH6042SPDQ")</f>
        <v>DMNH6042SPDQ</v>
      </c>
      <c r="B825" t="str">
        <f>Hyperlink("https://www.diodes.com/assets/Datasheets/DMNH6042SPDQ.pdf","DMNH6042SPDQ Datasheet")</f>
        <v>DMNH6042SPDQ Datasheet</v>
      </c>
      <c r="C825" t="s">
        <v>769</v>
      </c>
      <c r="D825" t="s">
        <v>25</v>
      </c>
      <c r="E825" t="s">
        <v>33</v>
      </c>
      <c r="F825" t="s">
        <v>35</v>
      </c>
      <c r="G825" t="s">
        <v>28</v>
      </c>
      <c r="H825">
        <v>60</v>
      </c>
      <c r="I825">
        <v>20</v>
      </c>
      <c r="J825">
        <v>5.7</v>
      </c>
      <c r="K825">
        <v>24</v>
      </c>
      <c r="L825">
        <v>2.5</v>
      </c>
      <c r="N825">
        <v>50</v>
      </c>
      <c r="O825">
        <v>65</v>
      </c>
      <c r="S825">
        <v>3</v>
      </c>
      <c r="T825">
        <v>4.2</v>
      </c>
      <c r="U825">
        <v>8.8</v>
      </c>
      <c r="V825">
        <v>584</v>
      </c>
      <c r="W825">
        <v>25</v>
      </c>
      <c r="X825" t="s">
        <v>93</v>
      </c>
    </row>
    <row r="826" spans="1:24">
      <c r="A826" t="str">
        <f>Hyperlink("https://www.diodes.com/part/view/DMNH6042SPS","DMNH6042SPS")</f>
        <v>DMNH6042SPS</v>
      </c>
      <c r="B826" t="str">
        <f>Hyperlink("https://www.diodes.com/assets/Datasheets/DMNH6042SPS.pdf","DMNH6042SPS Datasheet")</f>
        <v>DMNH6042SPS Datasheet</v>
      </c>
      <c r="C826" t="s">
        <v>721</v>
      </c>
      <c r="D826" t="s">
        <v>25</v>
      </c>
      <c r="E826" t="s">
        <v>26</v>
      </c>
      <c r="F826" t="s">
        <v>27</v>
      </c>
      <c r="G826" t="s">
        <v>28</v>
      </c>
      <c r="H826">
        <v>60</v>
      </c>
      <c r="I826">
        <v>20</v>
      </c>
      <c r="K826">
        <v>24</v>
      </c>
      <c r="L826">
        <v>2.9</v>
      </c>
      <c r="N826">
        <v>50</v>
      </c>
      <c r="O826">
        <v>65</v>
      </c>
      <c r="S826">
        <v>3</v>
      </c>
      <c r="T826">
        <v>4.2</v>
      </c>
      <c r="U826">
        <v>8.8</v>
      </c>
      <c r="V826">
        <v>584</v>
      </c>
      <c r="W826">
        <v>25</v>
      </c>
      <c r="X826" t="s">
        <v>617</v>
      </c>
    </row>
    <row r="827" spans="1:24">
      <c r="A827" t="str">
        <f>Hyperlink("https://www.diodes.com/part/view/DMNH6042SPSQ","DMNH6042SPSQ")</f>
        <v>DMNH6042SPSQ</v>
      </c>
      <c r="B827" t="str">
        <f>Hyperlink("https://www.diodes.com/assets/Datasheets/DMNH6042SPSQ.pdf","DMNH6042SPSQ Datasheet")</f>
        <v>DMNH6042SPSQ Datasheet</v>
      </c>
      <c r="C827" t="s">
        <v>766</v>
      </c>
      <c r="D827" t="s">
        <v>25</v>
      </c>
      <c r="E827" t="s">
        <v>33</v>
      </c>
      <c r="F827" t="s">
        <v>27</v>
      </c>
      <c r="G827" t="s">
        <v>28</v>
      </c>
      <c r="H827">
        <v>60</v>
      </c>
      <c r="I827">
        <v>20</v>
      </c>
      <c r="K827">
        <v>24</v>
      </c>
      <c r="L827">
        <v>2.9</v>
      </c>
      <c r="N827">
        <v>50</v>
      </c>
      <c r="O827">
        <v>65</v>
      </c>
      <c r="S827">
        <v>3</v>
      </c>
      <c r="T827">
        <v>4.2</v>
      </c>
      <c r="U827">
        <v>8.8</v>
      </c>
      <c r="V827">
        <v>584</v>
      </c>
      <c r="W827">
        <v>25</v>
      </c>
      <c r="X827" t="s">
        <v>617</v>
      </c>
    </row>
    <row r="828" spans="1:24">
      <c r="A828" t="str">
        <f>Hyperlink("https://www.diodes.com/part/view/DMNH6042SPSWQ","DMNH6042SPSWQ")</f>
        <v>DMNH6042SPSWQ</v>
      </c>
      <c r="B828" t="str">
        <f>Hyperlink("https://www.diodes.com/assets/Datasheets/DMNH6042SPSWQ.pdf","DMNH6042SPSWQ Datasheet")</f>
        <v>DMNH6042SPSWQ Datasheet</v>
      </c>
      <c r="C828" t="s">
        <v>767</v>
      </c>
      <c r="D828" t="s">
        <v>25</v>
      </c>
      <c r="E828" t="s">
        <v>33</v>
      </c>
      <c r="F828" t="s">
        <v>27</v>
      </c>
      <c r="G828" t="s">
        <v>28</v>
      </c>
      <c r="H828">
        <v>60</v>
      </c>
      <c r="I828">
        <v>20</v>
      </c>
      <c r="K828">
        <v>24</v>
      </c>
      <c r="L828">
        <v>2.9</v>
      </c>
      <c r="N828">
        <v>50</v>
      </c>
      <c r="O828">
        <v>65</v>
      </c>
      <c r="R828">
        <v>1</v>
      </c>
      <c r="S828">
        <v>3</v>
      </c>
      <c r="T828">
        <v>4.2</v>
      </c>
      <c r="U828">
        <v>8.8</v>
      </c>
      <c r="V828">
        <v>25</v>
      </c>
      <c r="W828">
        <v>584</v>
      </c>
      <c r="X828" t="s">
        <v>757</v>
      </c>
    </row>
    <row r="829" spans="1:24">
      <c r="A829" t="str">
        <f>Hyperlink("https://www.diodes.com/part/view/DMNH6042SSD","DMNH6042SSD")</f>
        <v>DMNH6042SSD</v>
      </c>
      <c r="B829" t="str">
        <f>Hyperlink("https://www.diodes.com/assets/Datasheets/DMNH6042SSD.pdf","DMNH6042SSD Datasheet")</f>
        <v>DMNH6042SSD Datasheet</v>
      </c>
      <c r="C829" t="s">
        <v>34</v>
      </c>
      <c r="D829" t="s">
        <v>25</v>
      </c>
      <c r="E829" t="s">
        <v>26</v>
      </c>
      <c r="F829" t="s">
        <v>35</v>
      </c>
      <c r="G829" t="s">
        <v>28</v>
      </c>
      <c r="H829">
        <v>60</v>
      </c>
      <c r="I829">
        <v>20</v>
      </c>
      <c r="J829">
        <v>5.3</v>
      </c>
      <c r="K829">
        <v>16.7</v>
      </c>
      <c r="L829">
        <v>2.1</v>
      </c>
      <c r="N829">
        <v>50</v>
      </c>
      <c r="O829">
        <v>65</v>
      </c>
      <c r="S829">
        <v>3</v>
      </c>
      <c r="T829">
        <v>4.2</v>
      </c>
      <c r="U829">
        <v>8.8</v>
      </c>
      <c r="V829">
        <v>584</v>
      </c>
      <c r="W829">
        <v>25</v>
      </c>
      <c r="X829" t="s">
        <v>155</v>
      </c>
    </row>
    <row r="830" spans="1:24">
      <c r="A830" t="str">
        <f>Hyperlink("https://www.diodes.com/part/view/DMNH6042SSDQ","DMNH6042SSDQ")</f>
        <v>DMNH6042SSDQ</v>
      </c>
      <c r="B830" t="str">
        <f>Hyperlink("https://www.diodes.com/assets/Datasheets/DMNH6042SSDQ.pdf","DMNH6042SSDQ Datasheet")</f>
        <v>DMNH6042SSDQ Datasheet</v>
      </c>
      <c r="C830" t="s">
        <v>772</v>
      </c>
      <c r="D830" t="s">
        <v>25</v>
      </c>
      <c r="E830" t="s">
        <v>33</v>
      </c>
      <c r="F830" t="s">
        <v>35</v>
      </c>
      <c r="G830" t="s">
        <v>28</v>
      </c>
      <c r="H830">
        <v>60</v>
      </c>
      <c r="I830">
        <v>20</v>
      </c>
      <c r="J830">
        <v>5.3</v>
      </c>
      <c r="K830">
        <v>16.7</v>
      </c>
      <c r="L830">
        <v>2.1</v>
      </c>
      <c r="N830">
        <v>50</v>
      </c>
      <c r="O830">
        <v>65</v>
      </c>
      <c r="S830">
        <v>3</v>
      </c>
      <c r="T830">
        <v>4.2</v>
      </c>
      <c r="U830">
        <v>8.8</v>
      </c>
      <c r="V830">
        <v>584</v>
      </c>
      <c r="W830">
        <v>25</v>
      </c>
      <c r="X830" t="s">
        <v>155</v>
      </c>
    </row>
    <row r="831" spans="1:24">
      <c r="A831" t="str">
        <f>Hyperlink("https://www.diodes.com/part/view/DMNH6065SPDW","DMNH6065SPDW")</f>
        <v>DMNH6065SPDW</v>
      </c>
      <c r="B831" t="str">
        <f>Hyperlink("https://www.diodes.com/assets/Datasheets/DMNH6065SPDW.pdf","DMNH6065SPDW Datasheet")</f>
        <v>DMNH6065SPDW Datasheet</v>
      </c>
      <c r="C831" t="s">
        <v>765</v>
      </c>
      <c r="D831" t="s">
        <v>25</v>
      </c>
      <c r="E831" t="s">
        <v>26</v>
      </c>
      <c r="F831" t="s">
        <v>35</v>
      </c>
      <c r="G831" t="s">
        <v>28</v>
      </c>
      <c r="H831">
        <v>60</v>
      </c>
      <c r="I831">
        <v>20</v>
      </c>
      <c r="K831">
        <v>27</v>
      </c>
      <c r="L831">
        <v>2.4</v>
      </c>
      <c r="M831">
        <v>68</v>
      </c>
      <c r="N831">
        <v>65</v>
      </c>
      <c r="O831">
        <v>79</v>
      </c>
      <c r="S831">
        <v>3</v>
      </c>
      <c r="T831">
        <v>4.6</v>
      </c>
      <c r="U831">
        <v>9.5</v>
      </c>
      <c r="V831">
        <v>466</v>
      </c>
      <c r="W831">
        <v>25</v>
      </c>
      <c r="X831" t="s">
        <v>617</v>
      </c>
    </row>
    <row r="832" spans="1:24">
      <c r="A832" t="str">
        <f>Hyperlink("https://www.diodes.com/part/view/DMNH6065SPDWQ","DMNH6065SPDWQ")</f>
        <v>DMNH6065SPDWQ</v>
      </c>
      <c r="B832" t="str">
        <f>Hyperlink("https://www.diodes.com/assets/Datasheets/DMNH6065SPDWQ.pdf","DMNH6065SPDWQ Datasheet")</f>
        <v>DMNH6065SPDWQ Datasheet</v>
      </c>
      <c r="C832" t="s">
        <v>765</v>
      </c>
      <c r="D832" t="s">
        <v>25</v>
      </c>
      <c r="E832" t="s">
        <v>33</v>
      </c>
      <c r="F832" t="s">
        <v>35</v>
      </c>
      <c r="G832" t="s">
        <v>28</v>
      </c>
      <c r="H832">
        <v>60</v>
      </c>
      <c r="I832">
        <v>20</v>
      </c>
      <c r="K832">
        <v>27</v>
      </c>
      <c r="L832">
        <v>2.4</v>
      </c>
      <c r="M832">
        <v>68</v>
      </c>
      <c r="N832">
        <v>65</v>
      </c>
      <c r="O832">
        <v>79</v>
      </c>
      <c r="S832">
        <v>3</v>
      </c>
      <c r="T832">
        <v>4.6</v>
      </c>
      <c r="U832">
        <v>9.5</v>
      </c>
      <c r="V832">
        <v>466</v>
      </c>
      <c r="W832">
        <v>25</v>
      </c>
      <c r="X832" t="s">
        <v>617</v>
      </c>
    </row>
    <row r="833" spans="1:24">
      <c r="A833" t="str">
        <f>Hyperlink("https://www.diodes.com/part/view/DMNH6065SSD","DMNH6065SSD")</f>
        <v>DMNH6065SSD</v>
      </c>
      <c r="B833" t="str">
        <f>Hyperlink("https://www.diodes.com/assets/Datasheets/DMNH6065SSD.pdf","DMNH6065SSD Datasheet")</f>
        <v>DMNH6065SSD Datasheet</v>
      </c>
      <c r="C833" t="s">
        <v>38</v>
      </c>
      <c r="D833" t="s">
        <v>28</v>
      </c>
      <c r="E833" t="s">
        <v>26</v>
      </c>
      <c r="F833" t="s">
        <v>35</v>
      </c>
      <c r="G833" t="s">
        <v>28</v>
      </c>
      <c r="H833">
        <v>60</v>
      </c>
      <c r="I833">
        <v>20</v>
      </c>
      <c r="J833">
        <v>3.8</v>
      </c>
      <c r="L833">
        <v>1.5</v>
      </c>
      <c r="N833">
        <v>65</v>
      </c>
      <c r="O833">
        <v>88</v>
      </c>
      <c r="S833">
        <v>3</v>
      </c>
      <c r="T833">
        <v>5.6</v>
      </c>
      <c r="U833">
        <v>11.3</v>
      </c>
      <c r="X833" t="s">
        <v>155</v>
      </c>
    </row>
    <row r="834" spans="1:24">
      <c r="A834" t="str">
        <f>Hyperlink("https://www.diodes.com/part/view/DMNH6065SSDQ","DMNH6065SSDQ")</f>
        <v>DMNH6065SSDQ</v>
      </c>
      <c r="B834" t="str">
        <f>Hyperlink("https://www.diodes.com/assets/Datasheets/DMNH6065SSDQ.pdf","DMNH6065SSDQ Datasheet")</f>
        <v>DMNH6065SSDQ Datasheet</v>
      </c>
      <c r="C834" t="s">
        <v>38</v>
      </c>
      <c r="D834" t="s">
        <v>25</v>
      </c>
      <c r="E834" t="s">
        <v>33</v>
      </c>
      <c r="F834" t="s">
        <v>35</v>
      </c>
      <c r="G834" t="s">
        <v>28</v>
      </c>
      <c r="H834">
        <v>60</v>
      </c>
      <c r="I834">
        <v>20</v>
      </c>
      <c r="J834">
        <v>3.8</v>
      </c>
      <c r="L834">
        <v>1.5</v>
      </c>
      <c r="N834">
        <v>65</v>
      </c>
      <c r="O834">
        <v>88</v>
      </c>
      <c r="R834">
        <v>1</v>
      </c>
      <c r="S834">
        <v>3</v>
      </c>
      <c r="T834">
        <v>5.6</v>
      </c>
      <c r="U834">
        <v>11.3</v>
      </c>
      <c r="X834" t="s">
        <v>155</v>
      </c>
    </row>
    <row r="835" spans="1:24">
      <c r="A835" t="str">
        <f>Hyperlink("https://www.diodes.com/part/view/DMNH6069SFVW","DMNH6069SFVW")</f>
        <v>DMNH6069SFVW</v>
      </c>
      <c r="B835" t="str">
        <f>Hyperlink("https://www.diodes.com/assets/Datasheets/DMNH6069SFVW.pdf","DMNH6069SFVW Datasheet")</f>
        <v>DMNH6069SFVW Datasheet</v>
      </c>
      <c r="C835" t="s">
        <v>773</v>
      </c>
      <c r="D835" t="s">
        <v>28</v>
      </c>
      <c r="E835" t="s">
        <v>26</v>
      </c>
      <c r="F835" t="s">
        <v>27</v>
      </c>
      <c r="G835" t="s">
        <v>28</v>
      </c>
      <c r="H835">
        <v>60</v>
      </c>
      <c r="I835">
        <v>20</v>
      </c>
      <c r="J835">
        <v>5</v>
      </c>
      <c r="K835">
        <v>18</v>
      </c>
      <c r="L835">
        <v>3</v>
      </c>
      <c r="M835">
        <v>38</v>
      </c>
      <c r="N835">
        <v>50</v>
      </c>
      <c r="O835">
        <v>63</v>
      </c>
      <c r="R835">
        <v>1</v>
      </c>
      <c r="S835">
        <v>3</v>
      </c>
      <c r="T835">
        <v>6.4</v>
      </c>
      <c r="U835">
        <v>14</v>
      </c>
      <c r="V835">
        <v>740</v>
      </c>
      <c r="W835">
        <v>30</v>
      </c>
      <c r="X835" t="s">
        <v>655</v>
      </c>
    </row>
    <row r="836" spans="1:24">
      <c r="A836" t="str">
        <f>Hyperlink("https://www.diodes.com/part/view/DMNH6069SFVWQ","DMNH6069SFVWQ")</f>
        <v>DMNH6069SFVWQ</v>
      </c>
      <c r="B836" t="str">
        <f>Hyperlink("https://www.diodes.com/assets/Datasheets/DMNH6069SFVWQ.pdf","DMNH6069SFVWQ Datasheet")</f>
        <v>DMNH6069SFVWQ Datasheet</v>
      </c>
      <c r="C836" t="s">
        <v>773</v>
      </c>
      <c r="D836" t="s">
        <v>25</v>
      </c>
      <c r="E836" t="s">
        <v>33</v>
      </c>
      <c r="F836" t="s">
        <v>27</v>
      </c>
      <c r="G836" t="s">
        <v>28</v>
      </c>
      <c r="H836">
        <v>60</v>
      </c>
      <c r="I836">
        <v>20</v>
      </c>
      <c r="J836">
        <v>5</v>
      </c>
      <c r="K836">
        <v>18</v>
      </c>
      <c r="L836">
        <v>3</v>
      </c>
      <c r="M836">
        <v>38</v>
      </c>
      <c r="N836">
        <v>50</v>
      </c>
      <c r="O836">
        <v>63</v>
      </c>
      <c r="R836">
        <v>1</v>
      </c>
      <c r="S836">
        <v>3</v>
      </c>
      <c r="T836">
        <v>6.4</v>
      </c>
      <c r="U836">
        <v>14</v>
      </c>
      <c r="V836">
        <v>740</v>
      </c>
      <c r="W836">
        <v>30</v>
      </c>
      <c r="X836" t="s">
        <v>655</v>
      </c>
    </row>
    <row r="837" spans="1:24">
      <c r="A837" t="str">
        <f>Hyperlink("https://www.diodes.com/part/view/DMP1005UFDF","DMP1005UFDF")</f>
        <v>DMP1005UFDF</v>
      </c>
      <c r="B837" t="str">
        <f>Hyperlink("https://www.diodes.com/assets/Datasheets/DMP1005UFDF.pdf","DMP1005UFDF Datasheet")</f>
        <v>DMP1005UFDF Datasheet</v>
      </c>
      <c r="C837" t="s">
        <v>51</v>
      </c>
      <c r="D837" t="s">
        <v>28</v>
      </c>
      <c r="E837" t="s">
        <v>26</v>
      </c>
      <c r="F837" t="s">
        <v>52</v>
      </c>
      <c r="G837" t="s">
        <v>25</v>
      </c>
      <c r="H837">
        <v>12</v>
      </c>
      <c r="I837">
        <v>8</v>
      </c>
      <c r="J837">
        <v>12.8</v>
      </c>
      <c r="K837">
        <v>26</v>
      </c>
      <c r="L837">
        <v>2.1</v>
      </c>
      <c r="O837">
        <v>8.5</v>
      </c>
      <c r="P837">
        <v>12</v>
      </c>
      <c r="Q837">
        <v>18.5</v>
      </c>
      <c r="R837">
        <v>0.3</v>
      </c>
      <c r="S837">
        <v>1</v>
      </c>
      <c r="T837">
        <v>28</v>
      </c>
      <c r="V837">
        <v>2475</v>
      </c>
      <c r="W837">
        <v>6</v>
      </c>
      <c r="X837" t="s">
        <v>568</v>
      </c>
    </row>
    <row r="838" spans="1:24">
      <c r="A838" t="str">
        <f>Hyperlink("https://www.diodes.com/part/view/DMP1007UCB9","DMP1007UCB9")</f>
        <v>DMP1007UCB9</v>
      </c>
      <c r="B838" t="str">
        <f>Hyperlink("https://www.diodes.com/assets/Datasheets/DMP1007UCB9.pdf","DMP1007UCB9 Datasheet")</f>
        <v>DMP1007UCB9 Datasheet</v>
      </c>
      <c r="C838" t="s">
        <v>51</v>
      </c>
      <c r="D838" t="s">
        <v>28</v>
      </c>
      <c r="E838" t="s">
        <v>26</v>
      </c>
      <c r="F838" t="s">
        <v>52</v>
      </c>
      <c r="G838" t="s">
        <v>25</v>
      </c>
      <c r="H838">
        <v>8</v>
      </c>
      <c r="I838">
        <v>6</v>
      </c>
      <c r="J838">
        <v>13.2</v>
      </c>
      <c r="L838">
        <v>1.53</v>
      </c>
      <c r="O838">
        <v>5.7</v>
      </c>
      <c r="P838">
        <v>9.1</v>
      </c>
      <c r="R838">
        <v>0.4</v>
      </c>
      <c r="S838">
        <v>1.1</v>
      </c>
      <c r="T838">
        <v>8.2</v>
      </c>
      <c r="V838">
        <v>900</v>
      </c>
      <c r="X838" t="s">
        <v>774</v>
      </c>
    </row>
    <row r="839" spans="1:24">
      <c r="A839" t="str">
        <f>Hyperlink("https://www.diodes.com/part/view/DMP1008UCA9","DMP1008UCA9")</f>
        <v>DMP1008UCA9</v>
      </c>
      <c r="B839" t="str">
        <f>Hyperlink("https://www.diodes.com/assets/Datasheets/DMP1008UCA9.pdf","DMP1008UCA9 Datasheet")</f>
        <v>DMP1008UCA9 Datasheet</v>
      </c>
      <c r="C839" t="s">
        <v>51</v>
      </c>
      <c r="D839" t="s">
        <v>28</v>
      </c>
      <c r="E839" t="s">
        <v>26</v>
      </c>
      <c r="F839" t="s">
        <v>52</v>
      </c>
      <c r="G839" t="s">
        <v>25</v>
      </c>
      <c r="H839">
        <v>8</v>
      </c>
      <c r="I839">
        <v>6</v>
      </c>
      <c r="J839">
        <v>16</v>
      </c>
      <c r="L839">
        <v>2.2</v>
      </c>
      <c r="O839">
        <v>5.7</v>
      </c>
      <c r="P839">
        <v>9.1</v>
      </c>
      <c r="R839">
        <v>0.4</v>
      </c>
      <c r="S839">
        <v>1.1</v>
      </c>
      <c r="T839">
        <v>9.5</v>
      </c>
      <c r="V839">
        <v>952</v>
      </c>
      <c r="W839">
        <v>4</v>
      </c>
      <c r="X839" t="s">
        <v>775</v>
      </c>
    </row>
    <row r="840" spans="1:24">
      <c r="A840" t="str">
        <f>Hyperlink("https://www.diodes.com/part/view/DMP1008UCB9","DMP1008UCB9")</f>
        <v>DMP1008UCB9</v>
      </c>
      <c r="B840" t="str">
        <f>Hyperlink("https://www.diodes.com/assets/Datasheets/DMP1008UCB9.pdf","DMP1008UCB9 Datasheet")</f>
        <v>DMP1008UCB9 Datasheet</v>
      </c>
      <c r="C840" t="s">
        <v>51</v>
      </c>
      <c r="D840" t="s">
        <v>28</v>
      </c>
      <c r="E840" t="s">
        <v>26</v>
      </c>
      <c r="F840" t="s">
        <v>52</v>
      </c>
      <c r="G840" t="s">
        <v>25</v>
      </c>
      <c r="H840">
        <v>8</v>
      </c>
      <c r="I840">
        <v>6</v>
      </c>
      <c r="J840">
        <v>13.2</v>
      </c>
      <c r="L840">
        <v>1.53</v>
      </c>
      <c r="O840">
        <v>5.7</v>
      </c>
      <c r="P840">
        <v>9.1</v>
      </c>
      <c r="R840">
        <v>0.4</v>
      </c>
      <c r="S840">
        <v>1.1</v>
      </c>
      <c r="T840">
        <v>8.2</v>
      </c>
      <c r="V840">
        <v>900</v>
      </c>
      <c r="W840">
        <v>4</v>
      </c>
      <c r="X840" t="s">
        <v>774</v>
      </c>
    </row>
    <row r="841" spans="1:24">
      <c r="A841" t="str">
        <f>Hyperlink("https://www.diodes.com/part/view/DMP1009UFDF","DMP1009UFDF")</f>
        <v>DMP1009UFDF</v>
      </c>
      <c r="B841" t="str">
        <f>Hyperlink("https://www.diodes.com/assets/Datasheets/DMP1009UFDF.pdf","DMP1009UFDF Datasheet")</f>
        <v>DMP1009UFDF Datasheet</v>
      </c>
      <c r="C841" t="s">
        <v>776</v>
      </c>
      <c r="D841" t="s">
        <v>28</v>
      </c>
      <c r="E841" t="s">
        <v>26</v>
      </c>
      <c r="F841" t="s">
        <v>52</v>
      </c>
      <c r="G841" t="s">
        <v>28</v>
      </c>
      <c r="H841">
        <v>12</v>
      </c>
      <c r="I841">
        <v>8</v>
      </c>
      <c r="J841">
        <v>11</v>
      </c>
      <c r="L841">
        <v>2</v>
      </c>
      <c r="O841">
        <v>11</v>
      </c>
      <c r="P841">
        <v>19</v>
      </c>
      <c r="Q841">
        <v>30</v>
      </c>
      <c r="R841">
        <v>0.3</v>
      </c>
      <c r="S841">
        <v>1</v>
      </c>
      <c r="T841">
        <v>26</v>
      </c>
      <c r="V841">
        <v>1860</v>
      </c>
      <c r="W841">
        <v>10</v>
      </c>
      <c r="X841" t="s">
        <v>568</v>
      </c>
    </row>
    <row r="842" spans="1:24">
      <c r="A842" t="str">
        <f>Hyperlink("https://www.diodes.com/part/view/DMP1009UFDFQ","DMP1009UFDFQ")</f>
        <v>DMP1009UFDFQ</v>
      </c>
      <c r="B842" t="str">
        <f>Hyperlink("https://www.diodes.com/assets/Datasheets/DMP1009UFDFQ.pdf","DMP1009UFDFQ Datasheet")</f>
        <v>DMP1009UFDFQ Datasheet</v>
      </c>
      <c r="C842" t="s">
        <v>776</v>
      </c>
      <c r="D842" t="s">
        <v>25</v>
      </c>
      <c r="E842" t="s">
        <v>33</v>
      </c>
      <c r="F842" t="s">
        <v>52</v>
      </c>
      <c r="G842" t="s">
        <v>28</v>
      </c>
      <c r="H842">
        <v>12</v>
      </c>
      <c r="I842">
        <v>8</v>
      </c>
      <c r="J842">
        <v>11</v>
      </c>
      <c r="L842">
        <v>2</v>
      </c>
      <c r="O842">
        <v>11</v>
      </c>
      <c r="P842">
        <v>19</v>
      </c>
      <c r="Q842">
        <v>30</v>
      </c>
      <c r="S842">
        <v>1</v>
      </c>
      <c r="T842">
        <v>26</v>
      </c>
      <c r="V842">
        <v>1860</v>
      </c>
      <c r="W842">
        <v>10</v>
      </c>
      <c r="X842" t="s">
        <v>568</v>
      </c>
    </row>
    <row r="843" spans="1:24">
      <c r="A843" t="str">
        <f>Hyperlink("https://www.diodes.com/part/view/DMP1010UCA4","DMP1010UCA4")</f>
        <v>DMP1010UCA4</v>
      </c>
      <c r="B843" t="str">
        <f>Hyperlink("https://www.diodes.com/assets/Datasheets/DMP1010UCA4.pdf","DMP1010UCA4 Datasheet")</f>
        <v>DMP1010UCA4 Datasheet</v>
      </c>
      <c r="C843" t="s">
        <v>777</v>
      </c>
      <c r="D843" t="s">
        <v>28</v>
      </c>
      <c r="E843" t="s">
        <v>26</v>
      </c>
      <c r="F843" t="s">
        <v>52</v>
      </c>
      <c r="G843" t="s">
        <v>25</v>
      </c>
      <c r="H843">
        <v>8</v>
      </c>
      <c r="I843">
        <v>6</v>
      </c>
      <c r="J843">
        <v>10</v>
      </c>
      <c r="L843">
        <v>1.75</v>
      </c>
      <c r="O843">
        <v>9.9</v>
      </c>
      <c r="P843">
        <v>15</v>
      </c>
      <c r="Q843">
        <v>40</v>
      </c>
      <c r="R843">
        <v>0.4</v>
      </c>
      <c r="S843">
        <v>1.05</v>
      </c>
      <c r="T843">
        <v>7</v>
      </c>
      <c r="V843">
        <v>699</v>
      </c>
      <c r="W843">
        <v>4</v>
      </c>
      <c r="X843" t="s">
        <v>778</v>
      </c>
    </row>
    <row r="844" spans="1:24">
      <c r="A844" t="str">
        <f>Hyperlink("https://www.diodes.com/part/view/DMP1011LFV","DMP1011LFV")</f>
        <v>DMP1011LFV</v>
      </c>
      <c r="B844" t="str">
        <f>Hyperlink("https://www.diodes.com/assets/Datasheets/DMP1011LFV.pdf","DMP1011LFV Datasheet")</f>
        <v>DMP1011LFV Datasheet</v>
      </c>
      <c r="C844" t="s">
        <v>51</v>
      </c>
      <c r="D844" t="s">
        <v>25</v>
      </c>
      <c r="E844" t="s">
        <v>26</v>
      </c>
      <c r="F844" t="s">
        <v>52</v>
      </c>
      <c r="G844" t="s">
        <v>25</v>
      </c>
      <c r="H844">
        <v>12</v>
      </c>
      <c r="I844">
        <v>6</v>
      </c>
      <c r="J844">
        <v>13</v>
      </c>
      <c r="K844">
        <v>19</v>
      </c>
      <c r="L844">
        <v>1.05</v>
      </c>
      <c r="M844">
        <v>2.16</v>
      </c>
      <c r="O844">
        <v>11.7</v>
      </c>
      <c r="P844">
        <v>18.6</v>
      </c>
      <c r="R844">
        <v>0.6</v>
      </c>
      <c r="S844">
        <v>1.2</v>
      </c>
      <c r="T844">
        <v>7.1</v>
      </c>
      <c r="V844">
        <v>913</v>
      </c>
      <c r="W844">
        <v>6</v>
      </c>
      <c r="X844" t="s">
        <v>570</v>
      </c>
    </row>
    <row r="845" spans="1:24">
      <c r="A845" t="str">
        <f>Hyperlink("https://www.diodes.com/part/view/DMP1011LFVQ","DMP1011LFVQ")</f>
        <v>DMP1011LFVQ</v>
      </c>
      <c r="B845" t="str">
        <f>Hyperlink("https://www.diodes.com/assets/Datasheets/DMP1011LFVQ.pdf","DMP1011LFVQ Datasheet")</f>
        <v>DMP1011LFVQ Datasheet</v>
      </c>
      <c r="C845" t="s">
        <v>51</v>
      </c>
      <c r="D845" t="s">
        <v>25</v>
      </c>
      <c r="E845" t="s">
        <v>33</v>
      </c>
      <c r="F845" t="s">
        <v>52</v>
      </c>
      <c r="G845" t="s">
        <v>25</v>
      </c>
      <c r="H845">
        <v>12</v>
      </c>
      <c r="I845">
        <v>6</v>
      </c>
      <c r="J845">
        <v>13</v>
      </c>
      <c r="K845">
        <v>19</v>
      </c>
      <c r="L845">
        <v>1.05</v>
      </c>
      <c r="M845">
        <v>2.16</v>
      </c>
      <c r="O845">
        <v>11.7</v>
      </c>
      <c r="P845">
        <v>18.6</v>
      </c>
      <c r="R845">
        <v>0.6</v>
      </c>
      <c r="S845">
        <v>1.2</v>
      </c>
      <c r="T845">
        <v>7.1</v>
      </c>
      <c r="V845">
        <v>913</v>
      </c>
      <c r="W845">
        <v>6</v>
      </c>
      <c r="X845" t="s">
        <v>570</v>
      </c>
    </row>
    <row r="846" spans="1:24">
      <c r="A846" t="str">
        <f>Hyperlink("https://www.diodes.com/part/view/DMP1011UCB9","DMP1011UCB9")</f>
        <v>DMP1011UCB9</v>
      </c>
      <c r="B846" t="str">
        <f>Hyperlink("https://www.diodes.com/assets/Datasheets/DMP1011UCB9.pdf","DMP1011UCB9 Datasheet")</f>
        <v>DMP1011UCB9 Datasheet</v>
      </c>
      <c r="C846" t="s">
        <v>51</v>
      </c>
      <c r="D846" t="s">
        <v>25</v>
      </c>
      <c r="E846" t="s">
        <v>26</v>
      </c>
      <c r="F846" t="s">
        <v>52</v>
      </c>
      <c r="G846" t="s">
        <v>25</v>
      </c>
      <c r="H846">
        <v>8</v>
      </c>
      <c r="I846">
        <v>6</v>
      </c>
      <c r="J846">
        <v>7.4</v>
      </c>
      <c r="L846">
        <v>1.57</v>
      </c>
      <c r="O846">
        <v>10</v>
      </c>
      <c r="P846">
        <v>14</v>
      </c>
      <c r="R846">
        <v>0.4</v>
      </c>
      <c r="S846">
        <v>1.1</v>
      </c>
      <c r="T846">
        <v>8.1</v>
      </c>
      <c r="V846">
        <v>817</v>
      </c>
      <c r="W846">
        <v>4</v>
      </c>
      <c r="X846" t="s">
        <v>779</v>
      </c>
    </row>
    <row r="847" spans="1:24">
      <c r="A847" t="str">
        <f>Hyperlink("https://www.diodes.com/part/view/DMP1012UFDF","DMP1012UFDF")</f>
        <v>DMP1012UFDF</v>
      </c>
      <c r="B847" t="str">
        <f>Hyperlink("https://www.diodes.com/assets/Datasheets/DMP1012UFDF.pdf","DMP1012UFDF Datasheet")</f>
        <v>DMP1012UFDF Datasheet</v>
      </c>
      <c r="C847" t="s">
        <v>776</v>
      </c>
      <c r="D847" t="s">
        <v>25</v>
      </c>
      <c r="E847" t="s">
        <v>26</v>
      </c>
      <c r="F847" t="s">
        <v>52</v>
      </c>
      <c r="G847" t="s">
        <v>28</v>
      </c>
      <c r="H847">
        <v>12</v>
      </c>
      <c r="I847">
        <v>8</v>
      </c>
      <c r="J847">
        <v>12.6</v>
      </c>
      <c r="L847">
        <v>2.11</v>
      </c>
      <c r="O847">
        <v>15</v>
      </c>
      <c r="P847">
        <v>30</v>
      </c>
      <c r="Q847">
        <v>40</v>
      </c>
      <c r="R847">
        <v>0.3</v>
      </c>
      <c r="S847">
        <v>0.9</v>
      </c>
      <c r="T847">
        <v>19.5</v>
      </c>
      <c r="V847">
        <v>1344</v>
      </c>
      <c r="W847">
        <v>10</v>
      </c>
      <c r="X847" t="s">
        <v>568</v>
      </c>
    </row>
    <row r="848" spans="1:24">
      <c r="A848" t="str">
        <f>Hyperlink("https://www.diodes.com/part/view/DMP1012USS","DMP1012USS")</f>
        <v>DMP1012USS</v>
      </c>
      <c r="B848" t="str">
        <f>Hyperlink("https://www.diodes.com/assets/Datasheets/DMP1012USS.pdf","DMP1012USS Datasheet")</f>
        <v>DMP1012USS Datasheet</v>
      </c>
      <c r="C848" t="s">
        <v>776</v>
      </c>
      <c r="D848" t="s">
        <v>28</v>
      </c>
      <c r="E848" t="s">
        <v>26</v>
      </c>
      <c r="F848" t="s">
        <v>52</v>
      </c>
      <c r="G848" t="s">
        <v>28</v>
      </c>
      <c r="H848">
        <v>12</v>
      </c>
      <c r="I848">
        <v>8</v>
      </c>
      <c r="J848">
        <v>8.5</v>
      </c>
      <c r="L848">
        <v>1.6</v>
      </c>
      <c r="O848">
        <v>15</v>
      </c>
      <c r="P848">
        <v>30</v>
      </c>
      <c r="Q848">
        <v>40</v>
      </c>
      <c r="R848">
        <v>0.4</v>
      </c>
      <c r="S848">
        <v>1</v>
      </c>
      <c r="T848">
        <v>19.5</v>
      </c>
      <c r="V848">
        <v>1344</v>
      </c>
      <c r="W848">
        <v>10</v>
      </c>
      <c r="X848" t="s">
        <v>155</v>
      </c>
    </row>
    <row r="849" spans="1:24">
      <c r="A849" t="str">
        <f>Hyperlink("https://www.diodes.com/part/view/DMP1012USSQ","DMP1012USSQ")</f>
        <v>DMP1012USSQ</v>
      </c>
      <c r="B849" t="str">
        <f>Hyperlink("https://www.diodes.com/assets/Datasheets/DMP1012USSQ.pdf","DMP1012USSQ Datasheet")</f>
        <v>DMP1012USSQ Datasheet</v>
      </c>
      <c r="C849" t="s">
        <v>780</v>
      </c>
      <c r="D849" t="s">
        <v>25</v>
      </c>
      <c r="E849" t="s">
        <v>33</v>
      </c>
      <c r="F849" t="s">
        <v>52</v>
      </c>
      <c r="G849" t="s">
        <v>28</v>
      </c>
      <c r="H849">
        <v>12</v>
      </c>
      <c r="I849">
        <v>8</v>
      </c>
      <c r="J849">
        <v>8.5</v>
      </c>
      <c r="L849">
        <v>1.6</v>
      </c>
      <c r="O849">
        <v>13.5</v>
      </c>
      <c r="P849">
        <v>18.5</v>
      </c>
      <c r="R849">
        <v>0.4</v>
      </c>
      <c r="S849">
        <v>1</v>
      </c>
      <c r="T849">
        <v>19.5</v>
      </c>
      <c r="U849" t="s">
        <v>781</v>
      </c>
      <c r="V849">
        <v>1344</v>
      </c>
      <c r="W849">
        <v>10</v>
      </c>
      <c r="X849" t="s">
        <v>155</v>
      </c>
    </row>
    <row r="850" spans="1:24">
      <c r="A850" t="str">
        <f>Hyperlink("https://www.diodes.com/part/view/DMP1022UFDEQ","DMP1022UFDEQ")</f>
        <v>DMP1022UFDEQ</v>
      </c>
      <c r="B850" t="str">
        <f>Hyperlink("https://www.diodes.com/assets/Datasheets/DMP1022UFDEQ.pdf","DMP1022UFDEQ Datasheet")</f>
        <v>DMP1022UFDEQ Datasheet</v>
      </c>
      <c r="C850" t="s">
        <v>776</v>
      </c>
      <c r="D850" t="s">
        <v>25</v>
      </c>
      <c r="E850" t="s">
        <v>33</v>
      </c>
      <c r="F850" t="s">
        <v>52</v>
      </c>
      <c r="G850" t="s">
        <v>25</v>
      </c>
      <c r="H850">
        <v>12</v>
      </c>
      <c r="I850">
        <v>8</v>
      </c>
      <c r="J850">
        <v>9.1</v>
      </c>
      <c r="L850">
        <v>2.03</v>
      </c>
      <c r="O850">
        <v>16</v>
      </c>
      <c r="P850">
        <v>21.5</v>
      </c>
      <c r="Q850">
        <v>26</v>
      </c>
      <c r="S850">
        <v>0.8</v>
      </c>
      <c r="T850">
        <v>25.3</v>
      </c>
      <c r="V850">
        <v>2953</v>
      </c>
      <c r="W850">
        <v>4</v>
      </c>
      <c r="X850" t="s">
        <v>567</v>
      </c>
    </row>
    <row r="851" spans="1:24">
      <c r="A851" t="str">
        <f>Hyperlink("https://www.diodes.com/part/view/DMP1022UFDF","DMP1022UFDF")</f>
        <v>DMP1022UFDF</v>
      </c>
      <c r="B851" t="str">
        <f>Hyperlink("https://www.diodes.com/assets/Datasheets/DMP1022UFDF.pdf","DMP1022UFDF Datasheet")</f>
        <v>DMP1022UFDF Datasheet</v>
      </c>
      <c r="C851" t="s">
        <v>51</v>
      </c>
      <c r="D851" t="s">
        <v>25</v>
      </c>
      <c r="E851" t="s">
        <v>26</v>
      </c>
      <c r="F851" t="s">
        <v>52</v>
      </c>
      <c r="G851" t="s">
        <v>25</v>
      </c>
      <c r="H851">
        <v>12</v>
      </c>
      <c r="I851">
        <v>8</v>
      </c>
      <c r="J851">
        <v>9.5</v>
      </c>
      <c r="L851">
        <v>2.1</v>
      </c>
      <c r="O851">
        <v>14.8</v>
      </c>
      <c r="P851">
        <v>19</v>
      </c>
      <c r="Q851">
        <v>26</v>
      </c>
      <c r="R851">
        <v>0.35</v>
      </c>
      <c r="S851">
        <v>0.8</v>
      </c>
      <c r="T851">
        <v>28.6</v>
      </c>
      <c r="V851">
        <v>2712</v>
      </c>
      <c r="W851">
        <v>10</v>
      </c>
      <c r="X851" t="s">
        <v>568</v>
      </c>
    </row>
    <row r="852" spans="1:24">
      <c r="A852" t="str">
        <f>Hyperlink("https://www.diodes.com/part/view/DMP1022UWS","DMP1022UWS")</f>
        <v>DMP1022UWS</v>
      </c>
      <c r="B852" t="str">
        <f>Hyperlink("https://www.diodes.com/assets/Datasheets/DMP1022UWS.pdf","DMP1022UWS Datasheet")</f>
        <v>DMP1022UWS Datasheet</v>
      </c>
      <c r="C852" t="s">
        <v>51</v>
      </c>
      <c r="D852" t="s">
        <v>28</v>
      </c>
      <c r="E852" t="s">
        <v>26</v>
      </c>
      <c r="F852" t="s">
        <v>52</v>
      </c>
      <c r="G852" t="s">
        <v>25</v>
      </c>
      <c r="H852">
        <v>12</v>
      </c>
      <c r="I852">
        <v>8</v>
      </c>
      <c r="J852">
        <v>7.2</v>
      </c>
      <c r="L852">
        <v>1.4</v>
      </c>
      <c r="O852">
        <v>18</v>
      </c>
      <c r="P852">
        <v>22</v>
      </c>
      <c r="Q852">
        <v>28</v>
      </c>
      <c r="R852">
        <v>0.35</v>
      </c>
      <c r="S852">
        <v>1</v>
      </c>
      <c r="T852">
        <v>27</v>
      </c>
      <c r="V852">
        <v>2847</v>
      </c>
      <c r="W852">
        <v>4</v>
      </c>
      <c r="X852" t="s">
        <v>782</v>
      </c>
    </row>
    <row r="853" spans="1:24">
      <c r="A853" t="str">
        <f>Hyperlink("https://www.diodes.com/part/view/DMP1045U","DMP1045U")</f>
        <v>DMP1045U</v>
      </c>
      <c r="B853" t="str">
        <f>Hyperlink("https://www.diodes.com/assets/Datasheets/DMP1045U.pdf","DMP1045U Datasheet")</f>
        <v>DMP1045U Datasheet</v>
      </c>
      <c r="C853" t="s">
        <v>51</v>
      </c>
      <c r="D853" t="s">
        <v>25</v>
      </c>
      <c r="E853" t="s">
        <v>26</v>
      </c>
      <c r="F853" t="s">
        <v>52</v>
      </c>
      <c r="G853" t="s">
        <v>25</v>
      </c>
      <c r="H853">
        <v>12</v>
      </c>
      <c r="I853">
        <v>8</v>
      </c>
      <c r="J853">
        <v>5.2</v>
      </c>
      <c r="L853">
        <v>1.3</v>
      </c>
      <c r="O853">
        <v>31</v>
      </c>
      <c r="P853">
        <v>45</v>
      </c>
      <c r="Q853">
        <v>75</v>
      </c>
      <c r="R853">
        <v>0.3</v>
      </c>
      <c r="S853">
        <v>1</v>
      </c>
      <c r="T853">
        <v>15.8</v>
      </c>
      <c r="V853">
        <v>1357</v>
      </c>
      <c r="W853">
        <v>10</v>
      </c>
      <c r="X853" t="s">
        <v>32</v>
      </c>
    </row>
    <row r="854" spans="1:24">
      <c r="A854" t="str">
        <f>Hyperlink("https://www.diodes.com/part/view/DMP1045UCB4","DMP1045UCB4")</f>
        <v>DMP1045UCB4</v>
      </c>
      <c r="B854" t="str">
        <f>Hyperlink("https://www.diodes.com/assets/Datasheets/DMP1045UCB4.pdf","DMP1045UCB4 Datasheet")</f>
        <v>DMP1045UCB4 Datasheet</v>
      </c>
      <c r="C854" t="s">
        <v>51</v>
      </c>
      <c r="D854" t="s">
        <v>28</v>
      </c>
      <c r="E854" t="s">
        <v>26</v>
      </c>
      <c r="F854" t="s">
        <v>52</v>
      </c>
      <c r="G854" t="s">
        <v>25</v>
      </c>
      <c r="H854">
        <v>12</v>
      </c>
      <c r="I854">
        <v>8</v>
      </c>
      <c r="J854">
        <v>4.8</v>
      </c>
      <c r="L854">
        <v>1.75</v>
      </c>
      <c r="O854">
        <v>50</v>
      </c>
      <c r="P854">
        <v>65</v>
      </c>
      <c r="Q854">
        <v>100</v>
      </c>
      <c r="R854">
        <v>0.3</v>
      </c>
      <c r="S854">
        <v>1</v>
      </c>
      <c r="T854">
        <v>6.1</v>
      </c>
      <c r="V854">
        <v>535</v>
      </c>
      <c r="W854">
        <v>6</v>
      </c>
      <c r="X854" t="s">
        <v>783</v>
      </c>
    </row>
    <row r="855" spans="1:24">
      <c r="A855" t="str">
        <f>Hyperlink("https://www.diodes.com/part/view/DMP1045UFY4","DMP1045UFY4")</f>
        <v>DMP1045UFY4</v>
      </c>
      <c r="B855" t="str">
        <f>Hyperlink("https://www.diodes.com/assets/Datasheets/DMP1045UFY4.pdf","DMP1045UFY4 Datasheet")</f>
        <v>DMP1045UFY4 Datasheet</v>
      </c>
      <c r="C855" t="s">
        <v>51</v>
      </c>
      <c r="D855" t="s">
        <v>25</v>
      </c>
      <c r="E855" t="s">
        <v>26</v>
      </c>
      <c r="F855" t="s">
        <v>52</v>
      </c>
      <c r="G855" t="s">
        <v>25</v>
      </c>
      <c r="H855">
        <v>12</v>
      </c>
      <c r="I855">
        <v>8</v>
      </c>
      <c r="J855">
        <v>5.5</v>
      </c>
      <c r="L855">
        <v>1.7</v>
      </c>
      <c r="O855">
        <v>32</v>
      </c>
      <c r="P855">
        <v>45</v>
      </c>
      <c r="Q855">
        <v>75</v>
      </c>
      <c r="R855">
        <v>0.3</v>
      </c>
      <c r="S855">
        <v>1</v>
      </c>
      <c r="T855">
        <v>14.7</v>
      </c>
      <c r="V855">
        <v>1291</v>
      </c>
      <c r="W855">
        <v>10</v>
      </c>
      <c r="X855" t="s">
        <v>505</v>
      </c>
    </row>
    <row r="856" spans="1:24">
      <c r="A856" t="str">
        <f>Hyperlink("https://www.diodes.com/part/view/DMP1045UQ","DMP1045UQ")</f>
        <v>DMP1045UQ</v>
      </c>
      <c r="B856" t="str">
        <f>Hyperlink("https://www.diodes.com/assets/Datasheets/DMP1045UQ.pdf","DMP1045UQ Datasheet")</f>
        <v>DMP1045UQ Datasheet</v>
      </c>
      <c r="C856" t="s">
        <v>51</v>
      </c>
      <c r="D856" t="s">
        <v>25</v>
      </c>
      <c r="E856" t="s">
        <v>33</v>
      </c>
      <c r="F856" t="s">
        <v>52</v>
      </c>
      <c r="G856" t="s">
        <v>25</v>
      </c>
      <c r="H856">
        <v>12</v>
      </c>
      <c r="I856">
        <v>8</v>
      </c>
      <c r="J856">
        <v>5.2</v>
      </c>
      <c r="L856">
        <v>1.3</v>
      </c>
      <c r="O856">
        <v>31</v>
      </c>
      <c r="P856">
        <v>45</v>
      </c>
      <c r="Q856">
        <v>75</v>
      </c>
      <c r="R856">
        <v>0.3</v>
      </c>
      <c r="S856">
        <v>1</v>
      </c>
      <c r="T856">
        <v>15.8</v>
      </c>
      <c r="V856">
        <v>1357</v>
      </c>
      <c r="W856">
        <v>10</v>
      </c>
      <c r="X856" t="s">
        <v>32</v>
      </c>
    </row>
    <row r="857" spans="1:24">
      <c r="A857" t="str">
        <f>Hyperlink("https://www.diodes.com/part/view/DMP1046UFDB","DMP1046UFDB")</f>
        <v>DMP1046UFDB</v>
      </c>
      <c r="B857" t="str">
        <f>Hyperlink("https://www.diodes.com/assets/Datasheets/DMP1046UFDB.pdf","DMP1046UFDB Datasheet")</f>
        <v>DMP1046UFDB Datasheet</v>
      </c>
      <c r="C857" t="s">
        <v>80</v>
      </c>
      <c r="D857" t="s">
        <v>28</v>
      </c>
      <c r="E857" t="s">
        <v>26</v>
      </c>
      <c r="F857" t="s">
        <v>78</v>
      </c>
      <c r="G857" t="s">
        <v>28</v>
      </c>
      <c r="H857">
        <v>12</v>
      </c>
      <c r="I857">
        <v>8</v>
      </c>
      <c r="J857">
        <v>3.8</v>
      </c>
      <c r="L857">
        <v>1.4</v>
      </c>
      <c r="O857">
        <v>61</v>
      </c>
      <c r="P857">
        <v>81</v>
      </c>
      <c r="Q857">
        <v>115</v>
      </c>
      <c r="R857">
        <v>0.4</v>
      </c>
      <c r="S857">
        <v>1</v>
      </c>
      <c r="T857">
        <v>10.7</v>
      </c>
      <c r="U857" t="s">
        <v>784</v>
      </c>
      <c r="V857">
        <v>915</v>
      </c>
      <c r="W857">
        <v>6</v>
      </c>
      <c r="X857" t="s">
        <v>125</v>
      </c>
    </row>
    <row r="858" spans="1:24">
      <c r="A858" t="str">
        <f>Hyperlink("https://www.diodes.com/part/view/DMP1055UFDB","DMP1055UFDB")</f>
        <v>DMP1055UFDB</v>
      </c>
      <c r="B858" t="str">
        <f>Hyperlink("https://www.diodes.com/assets/Datasheets/DMP1055UFDB.pdf","DMP1055UFDB Datasheet")</f>
        <v>DMP1055UFDB Datasheet</v>
      </c>
      <c r="C858" t="s">
        <v>77</v>
      </c>
      <c r="D858" t="s">
        <v>25</v>
      </c>
      <c r="E858" t="s">
        <v>26</v>
      </c>
      <c r="F858" t="s">
        <v>78</v>
      </c>
      <c r="G858" t="s">
        <v>25</v>
      </c>
      <c r="H858">
        <v>12</v>
      </c>
      <c r="I858">
        <v>8</v>
      </c>
      <c r="J858">
        <v>3.9</v>
      </c>
      <c r="L858">
        <v>1.4</v>
      </c>
      <c r="O858">
        <v>59</v>
      </c>
      <c r="P858">
        <v>81</v>
      </c>
      <c r="Q858">
        <v>115</v>
      </c>
      <c r="R858">
        <v>0.4</v>
      </c>
      <c r="S858">
        <v>1</v>
      </c>
      <c r="T858">
        <v>13</v>
      </c>
      <c r="U858" t="s">
        <v>785</v>
      </c>
      <c r="V858">
        <v>1028</v>
      </c>
      <c r="W858">
        <v>6</v>
      </c>
      <c r="X858" t="s">
        <v>125</v>
      </c>
    </row>
    <row r="859" spans="1:24">
      <c r="A859" t="str">
        <f>Hyperlink("https://www.diodes.com/part/view/DMP1055USW","DMP1055USW")</f>
        <v>DMP1055USW</v>
      </c>
      <c r="B859" t="str">
        <f>Hyperlink("https://www.diodes.com/assets/Datasheets/DMP1055USW.pdf","DMP1055USW Datasheet")</f>
        <v>DMP1055USW Datasheet</v>
      </c>
      <c r="C859" t="s">
        <v>51</v>
      </c>
      <c r="D859" t="s">
        <v>28</v>
      </c>
      <c r="E859" t="s">
        <v>26</v>
      </c>
      <c r="F859" t="s">
        <v>52</v>
      </c>
      <c r="G859" t="s">
        <v>25</v>
      </c>
      <c r="H859">
        <v>12</v>
      </c>
      <c r="I859">
        <v>8</v>
      </c>
      <c r="J859">
        <v>3.8</v>
      </c>
      <c r="L859">
        <v>1.03</v>
      </c>
      <c r="O859">
        <v>48</v>
      </c>
      <c r="P859">
        <v>59</v>
      </c>
      <c r="Q859">
        <v>80</v>
      </c>
      <c r="R859">
        <v>0.4</v>
      </c>
      <c r="S859">
        <v>1</v>
      </c>
      <c r="T859">
        <v>13</v>
      </c>
      <c r="V859">
        <v>1028</v>
      </c>
      <c r="W859">
        <v>6</v>
      </c>
      <c r="X859" t="s">
        <v>37</v>
      </c>
    </row>
    <row r="860" spans="1:24">
      <c r="A860" t="str">
        <f>Hyperlink("https://www.diodes.com/part/view/DMP1070U","DMP1070U")</f>
        <v>DMP1070U</v>
      </c>
      <c r="B860" t="str">
        <f>Hyperlink("https://www.diodes.com/assets/Datasheets/DMP1070U.pdf","DMP1070U Datasheet")</f>
        <v>DMP1070U Datasheet</v>
      </c>
      <c r="C860" t="s">
        <v>777</v>
      </c>
      <c r="D860" t="s">
        <v>28</v>
      </c>
      <c r="E860" t="s">
        <v>26</v>
      </c>
      <c r="F860" t="s">
        <v>52</v>
      </c>
      <c r="G860" t="s">
        <v>25</v>
      </c>
      <c r="H860">
        <v>12</v>
      </c>
      <c r="I860">
        <v>8</v>
      </c>
      <c r="J860">
        <v>5.4</v>
      </c>
      <c r="L860">
        <v>1.4</v>
      </c>
      <c r="O860">
        <v>31</v>
      </c>
      <c r="P860">
        <v>45</v>
      </c>
      <c r="Q860">
        <v>75</v>
      </c>
      <c r="R860">
        <v>0.3</v>
      </c>
      <c r="S860">
        <v>1</v>
      </c>
      <c r="T860">
        <v>11.5</v>
      </c>
      <c r="V860">
        <v>143</v>
      </c>
      <c r="W860">
        <v>10</v>
      </c>
      <c r="X860" t="s">
        <v>32</v>
      </c>
    </row>
    <row r="861" spans="1:24">
      <c r="A861" t="str">
        <f>Hyperlink("https://www.diodes.com/part/view/DMP1070UCA3","DMP1070UCA3")</f>
        <v>DMP1070UCA3</v>
      </c>
      <c r="B861" t="str">
        <f>Hyperlink("https://www.diodes.com/assets/Datasheets/DMP1070UCA3.pdf","DMP1070UCA3 Datasheet")</f>
        <v>DMP1070UCA3 Datasheet</v>
      </c>
      <c r="C861" t="s">
        <v>51</v>
      </c>
      <c r="D861" t="s">
        <v>28</v>
      </c>
      <c r="E861" t="s">
        <v>26</v>
      </c>
      <c r="F861" t="s">
        <v>52</v>
      </c>
      <c r="G861" t="s">
        <v>25</v>
      </c>
      <c r="H861">
        <v>12</v>
      </c>
      <c r="I861">
        <v>6</v>
      </c>
      <c r="J861">
        <v>3.6</v>
      </c>
      <c r="L861">
        <v>1.36</v>
      </c>
      <c r="O861">
        <v>70</v>
      </c>
      <c r="P861">
        <v>100</v>
      </c>
      <c r="Q861">
        <v>150</v>
      </c>
      <c r="R861">
        <v>0.4</v>
      </c>
      <c r="S861">
        <v>0.95</v>
      </c>
      <c r="T861">
        <v>1.45</v>
      </c>
      <c r="V861">
        <v>147</v>
      </c>
      <c r="W861">
        <v>6</v>
      </c>
      <c r="X861" t="s">
        <v>786</v>
      </c>
    </row>
    <row r="862" spans="1:24">
      <c r="A862" t="str">
        <f>Hyperlink("https://www.diodes.com/part/view/DMP1070UQ","DMP1070UQ")</f>
        <v>DMP1070UQ</v>
      </c>
      <c r="B862" t="str">
        <f>Hyperlink("https://www.diodes.com/assets/Datasheets/DMP1070UQ.pdf","DMP1070UQ Datasheet")</f>
        <v>DMP1070UQ Datasheet</v>
      </c>
      <c r="C862" t="s">
        <v>777</v>
      </c>
      <c r="D862" t="s">
        <v>25</v>
      </c>
      <c r="E862" t="s">
        <v>33</v>
      </c>
      <c r="F862" t="s">
        <v>52</v>
      </c>
      <c r="G862" t="s">
        <v>25</v>
      </c>
      <c r="H862">
        <v>12</v>
      </c>
      <c r="I862">
        <v>8</v>
      </c>
      <c r="J862">
        <v>5.4</v>
      </c>
      <c r="L862">
        <v>1.4</v>
      </c>
      <c r="O862">
        <v>31</v>
      </c>
      <c r="P862">
        <v>45</v>
      </c>
      <c r="Q862">
        <v>75</v>
      </c>
      <c r="R862">
        <v>0.3</v>
      </c>
      <c r="S862">
        <v>1</v>
      </c>
      <c r="T862">
        <v>11.5</v>
      </c>
      <c r="V862">
        <v>143</v>
      </c>
      <c r="W862">
        <v>10</v>
      </c>
      <c r="X862" t="s">
        <v>32</v>
      </c>
    </row>
    <row r="863" spans="1:24">
      <c r="A863" t="str">
        <f>Hyperlink("https://www.diodes.com/part/view/DMP10H088SPS","DMP10H088SPS")</f>
        <v>DMP10H088SPS</v>
      </c>
      <c r="B863" t="str">
        <f>Hyperlink("https://www.diodes.com/assets/Datasheets/DMP10H088SPS.pdf","DMP10H088SPS Datasheet")</f>
        <v>DMP10H088SPS Datasheet</v>
      </c>
      <c r="C863" t="s">
        <v>787</v>
      </c>
      <c r="D863" t="s">
        <v>28</v>
      </c>
      <c r="E863" t="s">
        <v>26</v>
      </c>
      <c r="F863" t="s">
        <v>52</v>
      </c>
      <c r="G863" t="s">
        <v>28</v>
      </c>
      <c r="H863">
        <v>100</v>
      </c>
      <c r="I863">
        <v>25</v>
      </c>
      <c r="K863">
        <v>20</v>
      </c>
      <c r="L863">
        <v>2.2</v>
      </c>
      <c r="M863">
        <v>70</v>
      </c>
      <c r="N863">
        <v>83</v>
      </c>
      <c r="R863">
        <v>2</v>
      </c>
      <c r="S863">
        <v>4</v>
      </c>
      <c r="T863">
        <v>13.6</v>
      </c>
      <c r="U863">
        <v>27.7</v>
      </c>
      <c r="V863">
        <v>1808</v>
      </c>
      <c r="W863">
        <v>50</v>
      </c>
      <c r="X863" t="s">
        <v>617</v>
      </c>
    </row>
    <row r="864" spans="1:24">
      <c r="A864" t="str">
        <f>Hyperlink("https://www.diodes.com/part/view/DMP10H400SE","DMP10H400SE")</f>
        <v>DMP10H400SE</v>
      </c>
      <c r="B864" t="str">
        <f>Hyperlink("https://www.diodes.com/assets/Datasheets/DMP10H400SE.pdf","DMP10H400SE Datasheet")</f>
        <v>DMP10H400SE Datasheet</v>
      </c>
      <c r="C864" t="s">
        <v>51</v>
      </c>
      <c r="D864" t="s">
        <v>25</v>
      </c>
      <c r="E864" t="s">
        <v>26</v>
      </c>
      <c r="F864" t="s">
        <v>52</v>
      </c>
      <c r="G864" t="s">
        <v>28</v>
      </c>
      <c r="H864">
        <v>100</v>
      </c>
      <c r="I864">
        <v>20</v>
      </c>
      <c r="J864">
        <v>2.3</v>
      </c>
      <c r="L864">
        <v>2</v>
      </c>
      <c r="N864">
        <v>250</v>
      </c>
      <c r="O864">
        <v>300</v>
      </c>
      <c r="S864">
        <v>3</v>
      </c>
      <c r="T864">
        <v>8.4</v>
      </c>
      <c r="U864">
        <v>17.5</v>
      </c>
      <c r="V864" t="s">
        <v>788</v>
      </c>
      <c r="W864">
        <v>25</v>
      </c>
      <c r="X864" t="s">
        <v>586</v>
      </c>
    </row>
    <row r="865" spans="1:24">
      <c r="A865" t="str">
        <f>Hyperlink("https://www.diodes.com/part/view/DMP10H400SEQ","DMP10H400SEQ")</f>
        <v>DMP10H400SEQ</v>
      </c>
      <c r="B865" t="str">
        <f>Hyperlink("https://www.diodes.com/assets/Datasheets/DMP10H400SEQ.pdf","DMP10H400SEQ Datasheet")</f>
        <v>DMP10H400SEQ Datasheet</v>
      </c>
      <c r="C865" t="s">
        <v>787</v>
      </c>
      <c r="D865" t="s">
        <v>25</v>
      </c>
      <c r="E865" t="s">
        <v>33</v>
      </c>
      <c r="F865" t="s">
        <v>52</v>
      </c>
      <c r="G865" t="s">
        <v>28</v>
      </c>
      <c r="H865">
        <v>100</v>
      </c>
      <c r="I865">
        <v>20</v>
      </c>
      <c r="J865">
        <v>2.3</v>
      </c>
      <c r="L865">
        <v>2</v>
      </c>
      <c r="N865">
        <v>250</v>
      </c>
      <c r="O865">
        <v>300</v>
      </c>
      <c r="S865">
        <v>3</v>
      </c>
      <c r="T865">
        <v>8.4</v>
      </c>
      <c r="U865">
        <v>17.5</v>
      </c>
      <c r="V865">
        <v>1239</v>
      </c>
      <c r="W865">
        <v>25</v>
      </c>
      <c r="X865" t="s">
        <v>586</v>
      </c>
    </row>
    <row r="866" spans="1:24">
      <c r="A866" t="str">
        <f>Hyperlink("https://www.diodes.com/part/view/DMP10H400SK3","DMP10H400SK3")</f>
        <v>DMP10H400SK3</v>
      </c>
      <c r="B866" t="str">
        <f>Hyperlink("https://www.diodes.com/assets/Datasheets/DMP10H400SK3.pdf","DMP10H400SK3 Datasheet")</f>
        <v>DMP10H400SK3 Datasheet</v>
      </c>
      <c r="C866" t="s">
        <v>51</v>
      </c>
      <c r="D866" t="s">
        <v>25</v>
      </c>
      <c r="E866" t="s">
        <v>26</v>
      </c>
      <c r="F866" t="s">
        <v>52</v>
      </c>
      <c r="G866" t="s">
        <v>28</v>
      </c>
      <c r="H866">
        <v>100</v>
      </c>
      <c r="I866">
        <v>20</v>
      </c>
      <c r="K866">
        <v>9</v>
      </c>
      <c r="M866">
        <v>42</v>
      </c>
      <c r="N866">
        <v>240</v>
      </c>
      <c r="O866">
        <v>300</v>
      </c>
      <c r="S866">
        <v>3</v>
      </c>
      <c r="T866">
        <v>8.4</v>
      </c>
      <c r="U866">
        <v>17.5</v>
      </c>
      <c r="V866">
        <v>1239</v>
      </c>
      <c r="W866">
        <v>25</v>
      </c>
      <c r="X866" t="s">
        <v>507</v>
      </c>
    </row>
    <row r="867" spans="1:24">
      <c r="A867" t="str">
        <f>Hyperlink("https://www.diodes.com/part/view/DMP10H4D2S","DMP10H4D2S")</f>
        <v>DMP10H4D2S</v>
      </c>
      <c r="B867" t="str">
        <f>Hyperlink("https://www.diodes.com/assets/Datasheets/DMP10H4D2S.pdf","DMP10H4D2S Datasheet")</f>
        <v>DMP10H4D2S Datasheet</v>
      </c>
      <c r="C867" t="s">
        <v>51</v>
      </c>
      <c r="D867" t="s">
        <v>25</v>
      </c>
      <c r="E867" t="s">
        <v>26</v>
      </c>
      <c r="F867" t="s">
        <v>52</v>
      </c>
      <c r="G867" t="s">
        <v>25</v>
      </c>
      <c r="H867">
        <v>100</v>
      </c>
      <c r="I867">
        <v>20</v>
      </c>
      <c r="J867">
        <v>0.27</v>
      </c>
      <c r="L867">
        <v>0.44</v>
      </c>
      <c r="N867">
        <v>4200</v>
      </c>
      <c r="O867" t="s">
        <v>789</v>
      </c>
      <c r="S867">
        <v>3</v>
      </c>
      <c r="U867">
        <v>1.8</v>
      </c>
      <c r="V867">
        <v>87</v>
      </c>
      <c r="W867">
        <v>25</v>
      </c>
      <c r="X867" t="s">
        <v>32</v>
      </c>
    </row>
    <row r="868" spans="1:24">
      <c r="A868" t="str">
        <f>Hyperlink("https://www.diodes.com/part/view/DMP10H4D2SQ","DMP10H4D2SQ")</f>
        <v>DMP10H4D2SQ</v>
      </c>
      <c r="B868" t="str">
        <f>Hyperlink("https://www.diodes.com/assets/Datasheets/DMP10H4D2SQ.pdf","DMP10H4D2SQ Datasheet")</f>
        <v>DMP10H4D2SQ Datasheet</v>
      </c>
      <c r="C868" t="s">
        <v>725</v>
      </c>
      <c r="D868" t="s">
        <v>25</v>
      </c>
      <c r="E868" t="s">
        <v>33</v>
      </c>
      <c r="F868" t="s">
        <v>52</v>
      </c>
      <c r="G868" t="s">
        <v>25</v>
      </c>
      <c r="H868">
        <v>100</v>
      </c>
      <c r="I868">
        <v>20</v>
      </c>
      <c r="J868">
        <v>0.27</v>
      </c>
      <c r="L868">
        <v>0.44</v>
      </c>
      <c r="N868">
        <v>4200</v>
      </c>
      <c r="O868" t="s">
        <v>789</v>
      </c>
      <c r="P868" t="s">
        <v>790</v>
      </c>
      <c r="R868">
        <v>1</v>
      </c>
      <c r="S868">
        <v>3</v>
      </c>
      <c r="U868">
        <v>1.8</v>
      </c>
      <c r="V868">
        <v>87</v>
      </c>
      <c r="W868">
        <v>25</v>
      </c>
      <c r="X868" t="s">
        <v>32</v>
      </c>
    </row>
    <row r="869" spans="1:24">
      <c r="A869" t="str">
        <f>Hyperlink("https://www.diodes.com/part/view/DMP1100UCB4","DMP1100UCB4")</f>
        <v>DMP1100UCB4</v>
      </c>
      <c r="B869" t="str">
        <f>Hyperlink("https://www.diodes.com/assets/Datasheets/DMP1100UCB4.pdf","DMP1100UCB4 Datasheet")</f>
        <v>DMP1100UCB4 Datasheet</v>
      </c>
      <c r="C869" t="s">
        <v>51</v>
      </c>
      <c r="D869" t="s">
        <v>25</v>
      </c>
      <c r="E869" t="s">
        <v>26</v>
      </c>
      <c r="F869" t="s">
        <v>52</v>
      </c>
      <c r="G869" t="s">
        <v>25</v>
      </c>
      <c r="H869">
        <v>12</v>
      </c>
      <c r="I869">
        <v>8</v>
      </c>
      <c r="J869">
        <v>3.2</v>
      </c>
      <c r="L869">
        <v>1.1</v>
      </c>
      <c r="O869">
        <v>83</v>
      </c>
      <c r="P869">
        <v>96</v>
      </c>
      <c r="Q869">
        <v>150</v>
      </c>
      <c r="R869">
        <v>0.35</v>
      </c>
      <c r="S869">
        <v>0.8</v>
      </c>
      <c r="T869">
        <v>9</v>
      </c>
      <c r="V869">
        <v>680</v>
      </c>
      <c r="W869">
        <v>6</v>
      </c>
      <c r="X869" t="s">
        <v>783</v>
      </c>
    </row>
    <row r="870" spans="1:24">
      <c r="A870" t="str">
        <f>Hyperlink("https://www.diodes.com/part/view/DMP1200UFR4","DMP1200UFR4")</f>
        <v>DMP1200UFR4</v>
      </c>
      <c r="B870" t="str">
        <f>Hyperlink("https://www.diodes.com/assets/Datasheets/DMP1200UFR4.pdf","DMP1200UFR4 Datasheet")</f>
        <v>DMP1200UFR4 Datasheet</v>
      </c>
      <c r="C870" t="s">
        <v>51</v>
      </c>
      <c r="D870" t="s">
        <v>28</v>
      </c>
      <c r="E870" t="s">
        <v>26</v>
      </c>
      <c r="F870" t="s">
        <v>52</v>
      </c>
      <c r="G870" t="s">
        <v>25</v>
      </c>
      <c r="H870">
        <v>12</v>
      </c>
      <c r="I870">
        <v>8</v>
      </c>
      <c r="J870">
        <v>2</v>
      </c>
      <c r="L870">
        <v>1.26</v>
      </c>
      <c r="O870">
        <v>100</v>
      </c>
      <c r="P870">
        <v>160</v>
      </c>
      <c r="Q870">
        <v>200</v>
      </c>
      <c r="R870">
        <v>0.35</v>
      </c>
      <c r="S870">
        <v>1</v>
      </c>
      <c r="T870">
        <v>5.8</v>
      </c>
      <c r="V870">
        <v>514</v>
      </c>
      <c r="W870">
        <v>5</v>
      </c>
      <c r="X870" t="s">
        <v>581</v>
      </c>
    </row>
    <row r="871" spans="1:24">
      <c r="A871" t="str">
        <f>Hyperlink("https://www.diodes.com/part/view/DMP1245UFCL","DMP1245UFCL")</f>
        <v>DMP1245UFCL</v>
      </c>
      <c r="B871" t="str">
        <f>Hyperlink("https://www.diodes.com/assets/Datasheets/DMP1245UFCL.pdf","DMP1245UFCL Datasheet")</f>
        <v>DMP1245UFCL Datasheet</v>
      </c>
      <c r="C871" t="s">
        <v>51</v>
      </c>
      <c r="D871" t="s">
        <v>25</v>
      </c>
      <c r="E871" t="s">
        <v>26</v>
      </c>
      <c r="F871" t="s">
        <v>52</v>
      </c>
      <c r="G871" t="s">
        <v>25</v>
      </c>
      <c r="H871">
        <v>12</v>
      </c>
      <c r="I871">
        <v>8</v>
      </c>
      <c r="J871">
        <v>6.6</v>
      </c>
      <c r="L871">
        <v>1.7</v>
      </c>
      <c r="O871">
        <v>29</v>
      </c>
      <c r="P871">
        <v>45</v>
      </c>
      <c r="Q871">
        <v>60</v>
      </c>
      <c r="R871">
        <v>0.3</v>
      </c>
      <c r="S871">
        <v>0.95</v>
      </c>
      <c r="T871">
        <v>16.1</v>
      </c>
      <c r="V871">
        <v>1357</v>
      </c>
      <c r="W871">
        <v>10</v>
      </c>
      <c r="X871" t="s">
        <v>624</v>
      </c>
    </row>
    <row r="872" spans="1:24">
      <c r="A872" t="str">
        <f>Hyperlink("https://www.diodes.com/part/view/DMP1555UFA","DMP1555UFA")</f>
        <v>DMP1555UFA</v>
      </c>
      <c r="B872" t="str">
        <f>Hyperlink("https://www.diodes.com/assets/Datasheets/DMP1555UFA.pdf","DMP1555UFA Datasheet")</f>
        <v>DMP1555UFA Datasheet</v>
      </c>
      <c r="C872" t="s">
        <v>51</v>
      </c>
      <c r="D872" t="s">
        <v>28</v>
      </c>
      <c r="E872" t="s">
        <v>26</v>
      </c>
      <c r="F872" t="s">
        <v>52</v>
      </c>
      <c r="G872" t="s">
        <v>25</v>
      </c>
      <c r="H872">
        <v>12</v>
      </c>
      <c r="I872">
        <v>8</v>
      </c>
      <c r="J872">
        <v>0.2</v>
      </c>
      <c r="L872">
        <v>0.36</v>
      </c>
      <c r="O872">
        <v>800</v>
      </c>
      <c r="P872">
        <v>1100</v>
      </c>
      <c r="Q872">
        <v>3000</v>
      </c>
      <c r="R872">
        <v>0.4</v>
      </c>
      <c r="S872">
        <v>1</v>
      </c>
      <c r="T872">
        <v>0.84</v>
      </c>
      <c r="V872">
        <v>55</v>
      </c>
      <c r="W872">
        <v>10</v>
      </c>
      <c r="X872" t="s">
        <v>595</v>
      </c>
    </row>
    <row r="873" spans="1:24">
      <c r="A873" t="str">
        <f>Hyperlink("https://www.diodes.com/part/view/DMP2002UPS","DMP2002UPS")</f>
        <v>DMP2002UPS</v>
      </c>
      <c r="B873" t="str">
        <f>Hyperlink("https://www.diodes.com/assets/Datasheets/DMP2002UPS.pdf","DMP2002UPS Datasheet")</f>
        <v>DMP2002UPS Datasheet</v>
      </c>
      <c r="C873" t="s">
        <v>497</v>
      </c>
      <c r="D873" t="s">
        <v>25</v>
      </c>
      <c r="E873" t="s">
        <v>26</v>
      </c>
      <c r="F873" t="s">
        <v>52</v>
      </c>
      <c r="G873" t="s">
        <v>28</v>
      </c>
      <c r="H873">
        <v>20</v>
      </c>
      <c r="I873">
        <v>12</v>
      </c>
      <c r="K873">
        <v>60</v>
      </c>
      <c r="L873">
        <v>2.3</v>
      </c>
      <c r="N873">
        <v>1.9</v>
      </c>
      <c r="O873">
        <v>2.4</v>
      </c>
      <c r="P873">
        <v>3.8</v>
      </c>
      <c r="R873">
        <v>0.5</v>
      </c>
      <c r="S873">
        <v>1.4</v>
      </c>
      <c r="T873">
        <v>228</v>
      </c>
      <c r="U873">
        <v>476</v>
      </c>
      <c r="V873">
        <v>12826</v>
      </c>
      <c r="W873">
        <v>10</v>
      </c>
      <c r="X873" t="s">
        <v>791</v>
      </c>
    </row>
    <row r="874" spans="1:24">
      <c r="A874" t="str">
        <f>Hyperlink("https://www.diodes.com/part/view/DMP2003UPS","DMP2003UPS")</f>
        <v>DMP2003UPS</v>
      </c>
      <c r="B874" t="str">
        <f>Hyperlink("https://www.diodes.com/assets/Datasheets/DMP2003UPS.pdf","DMP2003UPS Datasheet")</f>
        <v>DMP2003UPS Datasheet</v>
      </c>
      <c r="C874" t="s">
        <v>497</v>
      </c>
      <c r="D874" t="s">
        <v>28</v>
      </c>
      <c r="E874" t="s">
        <v>26</v>
      </c>
      <c r="F874" t="s">
        <v>52</v>
      </c>
      <c r="G874" t="s">
        <v>28</v>
      </c>
      <c r="H874">
        <v>20</v>
      </c>
      <c r="I874">
        <v>12</v>
      </c>
      <c r="K874">
        <v>150</v>
      </c>
      <c r="L874">
        <v>2.7</v>
      </c>
      <c r="N874">
        <v>2.2</v>
      </c>
      <c r="O874">
        <v>2.55</v>
      </c>
      <c r="P874">
        <v>4</v>
      </c>
      <c r="R874">
        <v>0.5</v>
      </c>
      <c r="S874">
        <v>1.4</v>
      </c>
      <c r="T874">
        <v>79</v>
      </c>
      <c r="U874">
        <v>177</v>
      </c>
      <c r="V874">
        <v>8352</v>
      </c>
      <c r="W874">
        <v>10</v>
      </c>
      <c r="X874" t="s">
        <v>617</v>
      </c>
    </row>
    <row r="875" spans="1:24">
      <c r="A875" t="str">
        <f>Hyperlink("https://www.diodes.com/part/view/DMP2004DMK","DMP2004DMK")</f>
        <v>DMP2004DMK</v>
      </c>
      <c r="B875" t="str">
        <f>Hyperlink("https://www.diodes.com/assets/Datasheets/ds30939.pdf","DMP2004DMK Datasheet")</f>
        <v>DMP2004DMK Datasheet</v>
      </c>
      <c r="C875" t="s">
        <v>77</v>
      </c>
      <c r="D875" t="s">
        <v>25</v>
      </c>
      <c r="E875" t="s">
        <v>26</v>
      </c>
      <c r="F875" t="s">
        <v>78</v>
      </c>
      <c r="G875" t="s">
        <v>25</v>
      </c>
      <c r="H875">
        <v>20</v>
      </c>
      <c r="I875">
        <v>8</v>
      </c>
      <c r="J875">
        <v>0.55</v>
      </c>
      <c r="L875">
        <v>0.5</v>
      </c>
      <c r="O875">
        <v>900</v>
      </c>
      <c r="P875">
        <v>1400</v>
      </c>
      <c r="Q875">
        <v>2000</v>
      </c>
      <c r="R875">
        <v>0.5</v>
      </c>
      <c r="S875">
        <v>1</v>
      </c>
      <c r="V875">
        <v>95</v>
      </c>
      <c r="X875" t="s">
        <v>261</v>
      </c>
    </row>
    <row r="876" spans="1:24">
      <c r="A876" t="str">
        <f>Hyperlink("https://www.diodes.com/part/view/DMP2004DWK","DMP2004DWK")</f>
        <v>DMP2004DWK</v>
      </c>
      <c r="B876" t="str">
        <f>Hyperlink("https://www.diodes.com/assets/Datasheets/DMP2004DWK.pdf","DMP2004DWK Datasheet")</f>
        <v>DMP2004DWK Datasheet</v>
      </c>
      <c r="C876" t="s">
        <v>77</v>
      </c>
      <c r="D876" t="s">
        <v>25</v>
      </c>
      <c r="E876" t="s">
        <v>26</v>
      </c>
      <c r="F876" t="s">
        <v>78</v>
      </c>
      <c r="G876" t="s">
        <v>25</v>
      </c>
      <c r="H876">
        <v>20</v>
      </c>
      <c r="I876">
        <v>8</v>
      </c>
      <c r="J876">
        <v>0.54</v>
      </c>
      <c r="L876">
        <v>0.25</v>
      </c>
      <c r="O876">
        <v>900</v>
      </c>
      <c r="P876">
        <v>1400</v>
      </c>
      <c r="Q876">
        <v>2000</v>
      </c>
      <c r="R876">
        <v>0.5</v>
      </c>
      <c r="S876">
        <v>1</v>
      </c>
      <c r="V876">
        <v>95</v>
      </c>
      <c r="W876">
        <v>16</v>
      </c>
      <c r="X876" t="s">
        <v>37</v>
      </c>
    </row>
    <row r="877" spans="1:24">
      <c r="A877" t="str">
        <f>Hyperlink("https://www.diodes.com/part/view/DMP2004K","DMP2004K")</f>
        <v>DMP2004K</v>
      </c>
      <c r="B877" t="str">
        <f>Hyperlink("https://www.diodes.com/assets/Datasheets/ds30933.pdf","DMP2004K Datasheet")</f>
        <v>DMP2004K Datasheet</v>
      </c>
      <c r="C877" t="s">
        <v>51</v>
      </c>
      <c r="D877" t="s">
        <v>25</v>
      </c>
      <c r="E877" t="s">
        <v>26</v>
      </c>
      <c r="F877" t="s">
        <v>52</v>
      </c>
      <c r="G877" t="s">
        <v>25</v>
      </c>
      <c r="H877">
        <v>20</v>
      </c>
      <c r="I877">
        <v>8</v>
      </c>
      <c r="J877">
        <v>0.6</v>
      </c>
      <c r="L877">
        <v>0.55</v>
      </c>
      <c r="O877">
        <v>900</v>
      </c>
      <c r="P877">
        <v>1400</v>
      </c>
      <c r="Q877">
        <v>2000</v>
      </c>
      <c r="R877">
        <v>0.5</v>
      </c>
      <c r="S877">
        <v>1</v>
      </c>
      <c r="V877">
        <v>95</v>
      </c>
      <c r="W877">
        <v>16</v>
      </c>
      <c r="X877" t="s">
        <v>32</v>
      </c>
    </row>
    <row r="878" spans="1:24">
      <c r="A878" t="str">
        <f>Hyperlink("https://www.diodes.com/part/view/DMP2004TK","DMP2004TK")</f>
        <v>DMP2004TK</v>
      </c>
      <c r="B878" t="str">
        <f>Hyperlink("https://www.diodes.com/assets/Datasheets/ds30932.pdf","DMP2004TK Datasheet")</f>
        <v>DMP2004TK Datasheet</v>
      </c>
      <c r="C878" t="s">
        <v>51</v>
      </c>
      <c r="D878" t="s">
        <v>25</v>
      </c>
      <c r="E878" t="s">
        <v>26</v>
      </c>
      <c r="F878" t="s">
        <v>52</v>
      </c>
      <c r="G878" t="s">
        <v>25</v>
      </c>
      <c r="H878">
        <v>20</v>
      </c>
      <c r="I878">
        <v>8</v>
      </c>
      <c r="J878">
        <v>0.43</v>
      </c>
      <c r="L878">
        <v>0.23</v>
      </c>
      <c r="O878">
        <v>1100</v>
      </c>
      <c r="P878">
        <v>1600</v>
      </c>
      <c r="Q878">
        <v>2400</v>
      </c>
      <c r="R878">
        <v>0.5</v>
      </c>
      <c r="S878">
        <v>1</v>
      </c>
      <c r="T878">
        <v>0.55</v>
      </c>
      <c r="U878" t="s">
        <v>792</v>
      </c>
      <c r="V878">
        <v>95</v>
      </c>
      <c r="W878">
        <v>16</v>
      </c>
      <c r="X878" t="s">
        <v>41</v>
      </c>
    </row>
    <row r="879" spans="1:24">
      <c r="A879" t="str">
        <f>Hyperlink("https://www.diodes.com/part/view/DMP2004UFG","DMP2004UFG")</f>
        <v>DMP2004UFG</v>
      </c>
      <c r="B879" t="str">
        <f>Hyperlink("https://www.diodes.com/assets/Datasheets/DMP2004UFG.pdf","DMP2004UFG Datasheet")</f>
        <v>DMP2004UFG Datasheet</v>
      </c>
      <c r="C879" t="s">
        <v>497</v>
      </c>
      <c r="D879" t="s">
        <v>28</v>
      </c>
      <c r="E879" t="s">
        <v>26</v>
      </c>
      <c r="F879" t="s">
        <v>52</v>
      </c>
      <c r="G879" t="s">
        <v>28</v>
      </c>
      <c r="H879">
        <v>20</v>
      </c>
      <c r="I879">
        <v>12</v>
      </c>
      <c r="K879">
        <v>115</v>
      </c>
      <c r="L879">
        <v>2.4</v>
      </c>
      <c r="N879">
        <v>3</v>
      </c>
      <c r="O879">
        <v>4</v>
      </c>
      <c r="S879">
        <v>1.1</v>
      </c>
      <c r="T879">
        <v>40</v>
      </c>
      <c r="U879">
        <v>83</v>
      </c>
      <c r="V879">
        <v>3840</v>
      </c>
      <c r="W879">
        <v>10</v>
      </c>
      <c r="X879" t="s">
        <v>529</v>
      </c>
    </row>
    <row r="880" spans="1:24">
      <c r="A880" t="str">
        <f>Hyperlink("https://www.diodes.com/part/view/DMP2004VK","DMP2004VK")</f>
        <v>DMP2004VK</v>
      </c>
      <c r="B880" t="str">
        <f>Hyperlink("https://www.diodes.com/assets/Datasheets/ds30916.pdf","DMP2004VK Datasheet")</f>
        <v>DMP2004VK Datasheet</v>
      </c>
      <c r="C880" t="s">
        <v>77</v>
      </c>
      <c r="D880" t="s">
        <v>25</v>
      </c>
      <c r="E880" t="s">
        <v>26</v>
      </c>
      <c r="F880" t="s">
        <v>78</v>
      </c>
      <c r="G880" t="s">
        <v>25</v>
      </c>
      <c r="H880">
        <v>20</v>
      </c>
      <c r="I880">
        <v>8</v>
      </c>
      <c r="J880">
        <v>0.53</v>
      </c>
      <c r="L880">
        <v>0.4</v>
      </c>
      <c r="O880">
        <v>900</v>
      </c>
      <c r="P880">
        <v>1400</v>
      </c>
      <c r="Q880">
        <v>2000</v>
      </c>
      <c r="R880">
        <v>0.5</v>
      </c>
      <c r="S880">
        <v>1</v>
      </c>
      <c r="V880">
        <v>95</v>
      </c>
      <c r="W880">
        <v>16</v>
      </c>
      <c r="X880" t="s">
        <v>43</v>
      </c>
    </row>
    <row r="881" spans="1:24">
      <c r="A881" t="str">
        <f>Hyperlink("https://www.diodes.com/part/view/DMP2004WK","DMP2004WK")</f>
        <v>DMP2004WK</v>
      </c>
      <c r="B881" t="str">
        <f>Hyperlink("https://www.diodes.com/assets/Datasheets/ds30931.pdf","DMP2004WK Datasheet")</f>
        <v>DMP2004WK Datasheet</v>
      </c>
      <c r="C881" t="s">
        <v>51</v>
      </c>
      <c r="D881" t="s">
        <v>25</v>
      </c>
      <c r="E881" t="s">
        <v>26</v>
      </c>
      <c r="F881" t="s">
        <v>52</v>
      </c>
      <c r="G881" t="s">
        <v>25</v>
      </c>
      <c r="H881">
        <v>20</v>
      </c>
      <c r="I881">
        <v>8</v>
      </c>
      <c r="J881">
        <v>0.4</v>
      </c>
      <c r="L881">
        <v>0.25</v>
      </c>
      <c r="O881">
        <v>900</v>
      </c>
      <c r="P881">
        <v>1400</v>
      </c>
      <c r="Q881">
        <v>2000</v>
      </c>
      <c r="R881">
        <v>0.5</v>
      </c>
      <c r="S881">
        <v>1</v>
      </c>
      <c r="V881">
        <v>95</v>
      </c>
      <c r="W881">
        <v>16</v>
      </c>
      <c r="X881" t="s">
        <v>60</v>
      </c>
    </row>
    <row r="882" spans="1:24">
      <c r="A882" t="str">
        <f>Hyperlink("https://www.diodes.com/part/view/DMP2005UFG","DMP2005UFG")</f>
        <v>DMP2005UFG</v>
      </c>
      <c r="B882" t="str">
        <f>Hyperlink("https://www.diodes.com/assets/Datasheets/DMP2005UFG.pdf","DMP2005UFG Datasheet")</f>
        <v>DMP2005UFG Datasheet</v>
      </c>
      <c r="C882" t="s">
        <v>497</v>
      </c>
      <c r="D882" t="s">
        <v>25</v>
      </c>
      <c r="E882" t="s">
        <v>26</v>
      </c>
      <c r="F882" t="s">
        <v>52</v>
      </c>
      <c r="G882" t="s">
        <v>28</v>
      </c>
      <c r="H882">
        <v>20</v>
      </c>
      <c r="I882">
        <v>10</v>
      </c>
      <c r="J882">
        <v>19</v>
      </c>
      <c r="L882">
        <v>2.2</v>
      </c>
      <c r="O882">
        <v>4</v>
      </c>
      <c r="P882">
        <v>6.5</v>
      </c>
      <c r="Q882">
        <v>14</v>
      </c>
      <c r="R882">
        <v>0.3</v>
      </c>
      <c r="S882">
        <v>0.9</v>
      </c>
      <c r="T882">
        <v>55</v>
      </c>
      <c r="U882">
        <v>125</v>
      </c>
      <c r="V882">
        <v>4670</v>
      </c>
      <c r="W882">
        <v>10</v>
      </c>
      <c r="X882" t="s">
        <v>529</v>
      </c>
    </row>
    <row r="883" spans="1:24">
      <c r="A883" t="str">
        <f>Hyperlink("https://www.diodes.com/part/view/DMP2006UFGQ","DMP2006UFGQ")</f>
        <v>DMP2006UFGQ</v>
      </c>
      <c r="B883" t="str">
        <f>Hyperlink("https://www.diodes.com/assets/Datasheets/DMP2006UFGQ.pdf","DMP2006UFGQ Datasheet")</f>
        <v>DMP2006UFGQ Datasheet</v>
      </c>
      <c r="C883" t="s">
        <v>497</v>
      </c>
      <c r="D883" t="s">
        <v>25</v>
      </c>
      <c r="E883" t="s">
        <v>33</v>
      </c>
      <c r="F883" t="s">
        <v>52</v>
      </c>
      <c r="G883" t="s">
        <v>28</v>
      </c>
      <c r="H883">
        <v>20</v>
      </c>
      <c r="I883">
        <v>10</v>
      </c>
      <c r="J883">
        <v>17.5</v>
      </c>
      <c r="L883">
        <v>2.3</v>
      </c>
      <c r="O883">
        <v>5.5</v>
      </c>
      <c r="P883">
        <v>7.5</v>
      </c>
      <c r="Q883">
        <v>12</v>
      </c>
      <c r="R883">
        <v>0.4</v>
      </c>
      <c r="S883">
        <v>1</v>
      </c>
      <c r="T883">
        <v>64</v>
      </c>
      <c r="U883">
        <v>140</v>
      </c>
      <c r="V883">
        <v>5404</v>
      </c>
      <c r="W883">
        <v>10</v>
      </c>
      <c r="X883" t="s">
        <v>529</v>
      </c>
    </row>
    <row r="884" spans="1:24">
      <c r="A884" t="str">
        <f>Hyperlink("https://www.diodes.com/part/view/DMP2007UFG","DMP2007UFG")</f>
        <v>DMP2007UFG</v>
      </c>
      <c r="B884" t="str">
        <f>Hyperlink("https://www.diodes.com/assets/Datasheets/DMP2007UFG.pdf","DMP2007UFG Datasheet")</f>
        <v>DMP2007UFG Datasheet</v>
      </c>
      <c r="C884" t="s">
        <v>497</v>
      </c>
      <c r="D884" t="s">
        <v>25</v>
      </c>
      <c r="E884" t="s">
        <v>26</v>
      </c>
      <c r="F884" t="s">
        <v>52</v>
      </c>
      <c r="G884" t="s">
        <v>28</v>
      </c>
      <c r="H884">
        <v>20</v>
      </c>
      <c r="I884">
        <v>12</v>
      </c>
      <c r="J884">
        <v>18</v>
      </c>
      <c r="L884">
        <v>2.3</v>
      </c>
      <c r="N884">
        <v>5.5</v>
      </c>
      <c r="O884">
        <v>7</v>
      </c>
      <c r="P884">
        <v>9</v>
      </c>
      <c r="R884">
        <v>0.4</v>
      </c>
      <c r="S884">
        <v>1.3</v>
      </c>
      <c r="T884">
        <v>39</v>
      </c>
      <c r="U884">
        <v>85</v>
      </c>
      <c r="V884">
        <v>4621</v>
      </c>
      <c r="W884">
        <v>10</v>
      </c>
      <c r="X884" t="s">
        <v>529</v>
      </c>
    </row>
    <row r="885" spans="1:24">
      <c r="A885" t="str">
        <f>Hyperlink("https://www.diodes.com/part/view/DMP2008UFG","DMP2008UFG")</f>
        <v>DMP2008UFG</v>
      </c>
      <c r="B885" t="str">
        <f>Hyperlink("https://www.diodes.com/assets/Datasheets/DMP2008UFG.pdf","DMP2008UFG Datasheet")</f>
        <v>DMP2008UFG Datasheet</v>
      </c>
      <c r="C885" t="s">
        <v>497</v>
      </c>
      <c r="D885" t="s">
        <v>25</v>
      </c>
      <c r="E885" t="s">
        <v>26</v>
      </c>
      <c r="F885" t="s">
        <v>52</v>
      </c>
      <c r="G885" t="s">
        <v>28</v>
      </c>
      <c r="H885">
        <v>20</v>
      </c>
      <c r="I885">
        <v>8</v>
      </c>
      <c r="J885">
        <v>14</v>
      </c>
      <c r="L885">
        <v>2.4</v>
      </c>
      <c r="O885">
        <v>8</v>
      </c>
      <c r="P885">
        <v>9.8</v>
      </c>
      <c r="Q885">
        <v>13</v>
      </c>
      <c r="R885">
        <v>0.4</v>
      </c>
      <c r="S885">
        <v>1</v>
      </c>
      <c r="T885">
        <v>72</v>
      </c>
      <c r="V885">
        <v>6909</v>
      </c>
      <c r="W885">
        <v>10</v>
      </c>
      <c r="X885" t="s">
        <v>529</v>
      </c>
    </row>
    <row r="886" spans="1:24">
      <c r="A886" t="str">
        <f>Hyperlink("https://www.diodes.com/part/view/DMP2008USS","DMP2008USS")</f>
        <v>DMP2008USS</v>
      </c>
      <c r="B886" t="str">
        <f>Hyperlink("https://www.diodes.com/assets/Datasheets/DMP2008USS.pdf","DMP2008USS Datasheet")</f>
        <v>DMP2008USS Datasheet</v>
      </c>
      <c r="C886" t="s">
        <v>497</v>
      </c>
      <c r="D886" t="s">
        <v>28</v>
      </c>
      <c r="E886" t="s">
        <v>26</v>
      </c>
      <c r="F886" t="s">
        <v>52</v>
      </c>
      <c r="G886" t="s">
        <v>28</v>
      </c>
      <c r="H886">
        <v>20</v>
      </c>
      <c r="I886">
        <v>8</v>
      </c>
      <c r="J886">
        <v>13</v>
      </c>
      <c r="L886">
        <v>2.3</v>
      </c>
      <c r="O886">
        <v>9</v>
      </c>
      <c r="P886">
        <v>11</v>
      </c>
      <c r="Q886">
        <v>16</v>
      </c>
      <c r="R886">
        <v>1</v>
      </c>
      <c r="S886">
        <v>1</v>
      </c>
      <c r="T886">
        <v>76</v>
      </c>
      <c r="U886">
        <v>159</v>
      </c>
      <c r="V886">
        <v>6820</v>
      </c>
      <c r="W886">
        <v>10</v>
      </c>
      <c r="X886" t="s">
        <v>155</v>
      </c>
    </row>
    <row r="887" spans="1:24">
      <c r="A887" t="str">
        <f>Hyperlink("https://www.diodes.com/part/view/DMP2010UFG","DMP2010UFG")</f>
        <v>DMP2010UFG</v>
      </c>
      <c r="B887" t="str">
        <f>Hyperlink("https://www.diodes.com/assets/Datasheets/DMP2010UFG.pdf","DMP2010UFG Datasheet")</f>
        <v>DMP2010UFG Datasheet</v>
      </c>
      <c r="C887" t="s">
        <v>497</v>
      </c>
      <c r="D887" t="s">
        <v>28</v>
      </c>
      <c r="E887" t="s">
        <v>26</v>
      </c>
      <c r="F887" t="s">
        <v>52</v>
      </c>
      <c r="G887" t="s">
        <v>28</v>
      </c>
      <c r="H887">
        <v>20</v>
      </c>
      <c r="I887">
        <v>10</v>
      </c>
      <c r="J887">
        <v>12.7</v>
      </c>
      <c r="L887">
        <v>2.3</v>
      </c>
      <c r="O887">
        <v>9.5</v>
      </c>
      <c r="P887">
        <v>12.5</v>
      </c>
      <c r="R887">
        <v>0.4</v>
      </c>
      <c r="S887">
        <v>1.2</v>
      </c>
      <c r="T887">
        <v>50</v>
      </c>
      <c r="U887">
        <v>103</v>
      </c>
      <c r="V887">
        <v>3350</v>
      </c>
      <c r="W887">
        <v>10</v>
      </c>
      <c r="X887" t="s">
        <v>529</v>
      </c>
    </row>
    <row r="888" spans="1:24">
      <c r="A888" t="str">
        <f>Hyperlink("https://www.diodes.com/part/view/DMP2010UFV","DMP2010UFV")</f>
        <v>DMP2010UFV</v>
      </c>
      <c r="B888" t="str">
        <f>Hyperlink("https://www.diodes.com/assets/Datasheets/DMP2010UFV.pdf","DMP2010UFV Datasheet")</f>
        <v>DMP2010UFV Datasheet</v>
      </c>
      <c r="C888" t="s">
        <v>497</v>
      </c>
      <c r="D888" t="s">
        <v>28</v>
      </c>
      <c r="E888" t="s">
        <v>26</v>
      </c>
      <c r="F888" t="s">
        <v>52</v>
      </c>
      <c r="G888" t="s">
        <v>28</v>
      </c>
      <c r="H888">
        <v>20</v>
      </c>
      <c r="I888">
        <v>10</v>
      </c>
      <c r="K888">
        <v>50</v>
      </c>
      <c r="L888">
        <v>2</v>
      </c>
      <c r="O888">
        <v>9.5</v>
      </c>
      <c r="P888">
        <v>12.5</v>
      </c>
      <c r="R888">
        <v>0.4</v>
      </c>
      <c r="S888">
        <v>1.2</v>
      </c>
      <c r="T888">
        <v>50</v>
      </c>
      <c r="U888">
        <v>103</v>
      </c>
      <c r="V888">
        <v>3350</v>
      </c>
      <c r="W888">
        <v>10</v>
      </c>
      <c r="X888" t="s">
        <v>570</v>
      </c>
    </row>
    <row r="889" spans="1:24">
      <c r="A889" t="str">
        <f>Hyperlink("https://www.diodes.com/part/view/DMP2012SN","DMP2012SN")</f>
        <v>DMP2012SN</v>
      </c>
      <c r="B889" t="str">
        <f>Hyperlink("https://www.diodes.com/assets/Datasheets/DMP2012SN.pdf","DMP2012SN Datasheet")</f>
        <v>DMP2012SN Datasheet</v>
      </c>
      <c r="C889" t="s">
        <v>51</v>
      </c>
      <c r="D889" t="s">
        <v>25</v>
      </c>
      <c r="E889" t="s">
        <v>26</v>
      </c>
      <c r="F889" t="s">
        <v>52</v>
      </c>
      <c r="G889" t="s">
        <v>25</v>
      </c>
      <c r="H889">
        <v>20</v>
      </c>
      <c r="I889">
        <v>12</v>
      </c>
      <c r="J889">
        <v>0.9</v>
      </c>
      <c r="L889">
        <v>0.5</v>
      </c>
      <c r="O889">
        <v>300</v>
      </c>
      <c r="P889">
        <v>500</v>
      </c>
      <c r="R889">
        <v>0.5</v>
      </c>
      <c r="S889">
        <v>1.2</v>
      </c>
      <c r="V889">
        <v>178.5</v>
      </c>
      <c r="W889">
        <v>10</v>
      </c>
      <c r="X889" t="s">
        <v>63</v>
      </c>
    </row>
    <row r="890" spans="1:24">
      <c r="A890" t="str">
        <f>Hyperlink("https://www.diodes.com/part/view/DMP2016UFDF","DMP2016UFDF")</f>
        <v>DMP2016UFDF</v>
      </c>
      <c r="B890" t="str">
        <f>Hyperlink("https://www.diodes.com/assets/Datasheets/DMP2016UFDF.pdf","DMP2016UFDF Datasheet")</f>
        <v>DMP2016UFDF Datasheet</v>
      </c>
      <c r="C890" t="s">
        <v>51</v>
      </c>
      <c r="D890" t="s">
        <v>28</v>
      </c>
      <c r="E890" t="s">
        <v>26</v>
      </c>
      <c r="F890" t="s">
        <v>52</v>
      </c>
      <c r="G890" t="s">
        <v>25</v>
      </c>
      <c r="H890">
        <v>20</v>
      </c>
      <c r="I890">
        <v>8</v>
      </c>
      <c r="J890">
        <v>9.5</v>
      </c>
      <c r="L890">
        <v>1.8</v>
      </c>
      <c r="O890">
        <v>15</v>
      </c>
      <c r="P890">
        <v>19</v>
      </c>
      <c r="S890">
        <v>1.1</v>
      </c>
      <c r="T890">
        <v>17</v>
      </c>
      <c r="U890" t="s">
        <v>793</v>
      </c>
      <c r="X890" t="s">
        <v>568</v>
      </c>
    </row>
    <row r="891" spans="1:24">
      <c r="A891" t="str">
        <f>Hyperlink("https://www.diodes.com/part/view/DMP2018LFK","DMP2018LFK")</f>
        <v>DMP2018LFK</v>
      </c>
      <c r="B891" t="str">
        <f>Hyperlink("https://www.diodes.com/assets/Datasheets/DMP2018LFK.pdf","DMP2018LFK Datasheet")</f>
        <v>DMP2018LFK Datasheet</v>
      </c>
      <c r="C891" t="s">
        <v>51</v>
      </c>
      <c r="D891" t="s">
        <v>25</v>
      </c>
      <c r="E891" t="s">
        <v>26</v>
      </c>
      <c r="F891" t="s">
        <v>52</v>
      </c>
      <c r="G891" t="s">
        <v>25</v>
      </c>
      <c r="H891">
        <v>20</v>
      </c>
      <c r="I891">
        <v>12</v>
      </c>
      <c r="J891">
        <v>9.2</v>
      </c>
      <c r="L891">
        <v>2.1</v>
      </c>
      <c r="O891">
        <v>16</v>
      </c>
      <c r="P891">
        <v>20</v>
      </c>
      <c r="R891">
        <v>0.45</v>
      </c>
      <c r="S891">
        <v>1.2</v>
      </c>
      <c r="T891">
        <v>53</v>
      </c>
      <c r="U891">
        <v>113</v>
      </c>
      <c r="V891">
        <v>4748</v>
      </c>
      <c r="W891">
        <v>10</v>
      </c>
      <c r="X891" t="s">
        <v>794</v>
      </c>
    </row>
    <row r="892" spans="1:24">
      <c r="A892" t="str">
        <f>Hyperlink("https://www.diodes.com/part/view/DMP2021UFDE","DMP2021UFDE")</f>
        <v>DMP2021UFDE</v>
      </c>
      <c r="B892" t="str">
        <f>Hyperlink("https://www.diodes.com/assets/Datasheets/DMP2021UFDE.pdf","DMP2021UFDE Datasheet")</f>
        <v>DMP2021UFDE Datasheet</v>
      </c>
      <c r="C892" t="s">
        <v>51</v>
      </c>
      <c r="D892" t="s">
        <v>25</v>
      </c>
      <c r="E892" t="s">
        <v>26</v>
      </c>
      <c r="F892" t="s">
        <v>52</v>
      </c>
      <c r="G892" t="s">
        <v>28</v>
      </c>
      <c r="H892">
        <v>20</v>
      </c>
      <c r="I892">
        <v>10</v>
      </c>
      <c r="J892">
        <v>9</v>
      </c>
      <c r="L892">
        <v>1.9</v>
      </c>
      <c r="O892">
        <v>16</v>
      </c>
      <c r="P892">
        <v>22</v>
      </c>
      <c r="Q892">
        <v>40</v>
      </c>
      <c r="R892">
        <v>0.35</v>
      </c>
      <c r="S892">
        <v>1</v>
      </c>
      <c r="T892">
        <v>34</v>
      </c>
      <c r="U892" t="s">
        <v>795</v>
      </c>
      <c r="V892">
        <v>2760</v>
      </c>
      <c r="W892">
        <v>15</v>
      </c>
      <c r="X892" t="s">
        <v>567</v>
      </c>
    </row>
    <row r="893" spans="1:24">
      <c r="A893" t="str">
        <f>Hyperlink("https://www.diodes.com/part/view/DMP2021UFDF","DMP2021UFDF")</f>
        <v>DMP2021UFDF</v>
      </c>
      <c r="B893" t="str">
        <f>Hyperlink("https://www.diodes.com/assets/Datasheets/DMP2021UFDF.pdf","DMP2021UFDF Datasheet")</f>
        <v>DMP2021UFDF Datasheet</v>
      </c>
      <c r="C893" t="s">
        <v>51</v>
      </c>
      <c r="D893" t="s">
        <v>25</v>
      </c>
      <c r="E893" t="s">
        <v>26</v>
      </c>
      <c r="F893" t="s">
        <v>52</v>
      </c>
      <c r="G893" t="s">
        <v>25</v>
      </c>
      <c r="H893">
        <v>20</v>
      </c>
      <c r="I893">
        <v>8</v>
      </c>
      <c r="J893">
        <v>9</v>
      </c>
      <c r="L893">
        <v>2.02</v>
      </c>
      <c r="O893">
        <v>16</v>
      </c>
      <c r="P893">
        <v>22</v>
      </c>
      <c r="Q893">
        <v>40</v>
      </c>
      <c r="R893">
        <v>0.35</v>
      </c>
      <c r="S893">
        <v>1</v>
      </c>
      <c r="T893">
        <v>34</v>
      </c>
      <c r="U893" t="s">
        <v>795</v>
      </c>
      <c r="V893">
        <v>2760</v>
      </c>
      <c r="W893">
        <v>15</v>
      </c>
      <c r="X893" t="s">
        <v>568</v>
      </c>
    </row>
    <row r="894" spans="1:24">
      <c r="A894" t="str">
        <f>Hyperlink("https://www.diodes.com/part/view/DMP2021UTS","DMP2021UTS")</f>
        <v>DMP2021UTS</v>
      </c>
      <c r="B894" t="str">
        <f>Hyperlink("https://www.diodes.com/assets/Datasheets/DMP2021UTS.pdf","DMP2021UTS Datasheet")</f>
        <v>DMP2021UTS Datasheet</v>
      </c>
      <c r="C894" t="s">
        <v>51</v>
      </c>
      <c r="D894" t="s">
        <v>25</v>
      </c>
      <c r="E894" t="s">
        <v>26</v>
      </c>
      <c r="F894" t="s">
        <v>52</v>
      </c>
      <c r="G894" t="s">
        <v>25</v>
      </c>
      <c r="H894">
        <v>20</v>
      </c>
      <c r="I894">
        <v>10</v>
      </c>
      <c r="J894">
        <v>7.4</v>
      </c>
      <c r="L894">
        <v>1.3</v>
      </c>
      <c r="O894">
        <v>16</v>
      </c>
      <c r="P894">
        <v>22</v>
      </c>
      <c r="Q894">
        <v>40</v>
      </c>
      <c r="R894">
        <v>0.35</v>
      </c>
      <c r="S894">
        <v>1</v>
      </c>
      <c r="T894">
        <v>34</v>
      </c>
      <c r="U894" t="s">
        <v>795</v>
      </c>
      <c r="V894">
        <v>2760</v>
      </c>
      <c r="W894">
        <v>15</v>
      </c>
      <c r="X894" t="s">
        <v>528</v>
      </c>
    </row>
    <row r="895" spans="1:24">
      <c r="A895" t="str">
        <f>Hyperlink("https://www.diodes.com/part/view/DMP2021UTSQ","DMP2021UTSQ")</f>
        <v>DMP2021UTSQ</v>
      </c>
      <c r="B895" t="str">
        <f>Hyperlink("https://www.diodes.com/assets/Datasheets/DMP2021UTSQ.pdf","DMP2021UTSQ Datasheet")</f>
        <v>DMP2021UTSQ Datasheet</v>
      </c>
      <c r="C895" t="s">
        <v>51</v>
      </c>
      <c r="D895" t="s">
        <v>25</v>
      </c>
      <c r="E895" t="s">
        <v>33</v>
      </c>
      <c r="F895" t="s">
        <v>52</v>
      </c>
      <c r="G895" t="s">
        <v>25</v>
      </c>
      <c r="H895">
        <v>20</v>
      </c>
      <c r="I895">
        <v>10</v>
      </c>
      <c r="J895">
        <v>7.4</v>
      </c>
      <c r="L895">
        <v>1.3</v>
      </c>
      <c r="O895">
        <v>16</v>
      </c>
      <c r="P895">
        <v>22</v>
      </c>
      <c r="Q895">
        <v>40</v>
      </c>
      <c r="R895">
        <v>0.35</v>
      </c>
      <c r="S895">
        <v>1</v>
      </c>
      <c r="T895">
        <v>34</v>
      </c>
      <c r="U895" t="s">
        <v>795</v>
      </c>
      <c r="V895">
        <v>2760</v>
      </c>
      <c r="W895">
        <v>15</v>
      </c>
      <c r="X895" t="s">
        <v>528</v>
      </c>
    </row>
    <row r="896" spans="1:24">
      <c r="A896" t="str">
        <f>Hyperlink("https://www.diodes.com/part/view/DMP2022LSS","DMP2022LSS")</f>
        <v>DMP2022LSS</v>
      </c>
      <c r="B896" t="str">
        <f>Hyperlink("https://www.diodes.com/assets/Datasheets/ds31373.pdf","DMP2022LSS Datasheet")</f>
        <v>DMP2022LSS Datasheet</v>
      </c>
      <c r="C896" t="s">
        <v>51</v>
      </c>
      <c r="D896" t="s">
        <v>25</v>
      </c>
      <c r="E896" t="s">
        <v>26</v>
      </c>
      <c r="F896" t="s">
        <v>52</v>
      </c>
      <c r="G896" t="s">
        <v>28</v>
      </c>
      <c r="H896">
        <v>20</v>
      </c>
      <c r="I896">
        <v>12</v>
      </c>
      <c r="J896">
        <v>10</v>
      </c>
      <c r="L896">
        <v>2.5</v>
      </c>
      <c r="N896">
        <v>13</v>
      </c>
      <c r="O896">
        <v>16</v>
      </c>
      <c r="P896">
        <v>22</v>
      </c>
      <c r="R896">
        <v>0.6</v>
      </c>
      <c r="S896">
        <v>1.1</v>
      </c>
      <c r="T896">
        <v>28.1</v>
      </c>
      <c r="U896">
        <v>56.9</v>
      </c>
      <c r="V896">
        <v>2444</v>
      </c>
      <c r="W896">
        <v>10</v>
      </c>
      <c r="X896" t="s">
        <v>155</v>
      </c>
    </row>
    <row r="897" spans="1:24">
      <c r="A897" t="str">
        <f>Hyperlink("https://www.diodes.com/part/view/DMP2022LSSQ","DMP2022LSSQ")</f>
        <v>DMP2022LSSQ</v>
      </c>
      <c r="B897" t="str">
        <f>Hyperlink("https://www.diodes.com/assets/Datasheets/DMP2022LSSQ.pdf","DMP2022LSSQ Datasheet")</f>
        <v>DMP2022LSSQ Datasheet</v>
      </c>
      <c r="C897" t="s">
        <v>51</v>
      </c>
      <c r="D897" t="s">
        <v>25</v>
      </c>
      <c r="E897" t="s">
        <v>33</v>
      </c>
      <c r="F897" t="s">
        <v>52</v>
      </c>
      <c r="G897" t="s">
        <v>28</v>
      </c>
      <c r="H897">
        <v>20</v>
      </c>
      <c r="I897">
        <v>12</v>
      </c>
      <c r="J897">
        <v>9.3</v>
      </c>
      <c r="L897">
        <v>1.6</v>
      </c>
      <c r="N897">
        <v>13</v>
      </c>
      <c r="O897">
        <v>16</v>
      </c>
      <c r="P897">
        <v>22</v>
      </c>
      <c r="R897">
        <v>0.6</v>
      </c>
      <c r="S897">
        <v>1.1</v>
      </c>
      <c r="T897">
        <v>28.1</v>
      </c>
      <c r="U897">
        <v>60.2</v>
      </c>
      <c r="V897">
        <v>2575</v>
      </c>
      <c r="W897">
        <v>10</v>
      </c>
      <c r="X897" t="s">
        <v>155</v>
      </c>
    </row>
    <row r="898" spans="1:24">
      <c r="A898" t="str">
        <f>Hyperlink("https://www.diodes.com/part/view/DMP2023UFDF","DMP2023UFDF")</f>
        <v>DMP2023UFDF</v>
      </c>
      <c r="B898" t="str">
        <f>Hyperlink("https://www.diodes.com/assets/Datasheets/DMP2023UFDF.pdf","DMP2023UFDF Datasheet")</f>
        <v>DMP2023UFDF Datasheet</v>
      </c>
      <c r="C898" t="s">
        <v>497</v>
      </c>
      <c r="D898" t="s">
        <v>28</v>
      </c>
      <c r="E898" t="s">
        <v>26</v>
      </c>
      <c r="F898" t="s">
        <v>52</v>
      </c>
      <c r="G898" t="s">
        <v>28</v>
      </c>
      <c r="H898">
        <v>20</v>
      </c>
      <c r="I898">
        <v>8</v>
      </c>
      <c r="J898">
        <v>7.6</v>
      </c>
      <c r="L898">
        <v>2.03</v>
      </c>
      <c r="O898">
        <v>27</v>
      </c>
      <c r="P898">
        <v>32</v>
      </c>
      <c r="Q898">
        <v>50</v>
      </c>
      <c r="R898">
        <v>0.4</v>
      </c>
      <c r="S898">
        <v>1</v>
      </c>
      <c r="T898">
        <v>27</v>
      </c>
      <c r="V898">
        <v>1837</v>
      </c>
      <c r="W898">
        <v>15</v>
      </c>
      <c r="X898" t="s">
        <v>568</v>
      </c>
    </row>
    <row r="899" spans="1:24">
      <c r="A899" t="str">
        <f>Hyperlink("https://www.diodes.com/part/view/DMP2033UVT","DMP2033UVT")</f>
        <v>DMP2033UVT</v>
      </c>
      <c r="B899" t="str">
        <f>Hyperlink("https://www.diodes.com/assets/Datasheets/DMP2033UVT.pdf","DMP2033UVT Datasheet")</f>
        <v>DMP2033UVT Datasheet</v>
      </c>
      <c r="C899" t="s">
        <v>51</v>
      </c>
      <c r="D899" t="s">
        <v>25</v>
      </c>
      <c r="E899" t="s">
        <v>26</v>
      </c>
      <c r="F899" t="s">
        <v>52</v>
      </c>
      <c r="G899" t="s">
        <v>28</v>
      </c>
      <c r="H899">
        <v>20</v>
      </c>
      <c r="I899">
        <v>8</v>
      </c>
      <c r="J899">
        <v>4.2</v>
      </c>
      <c r="L899">
        <v>1.7</v>
      </c>
      <c r="O899">
        <v>65</v>
      </c>
      <c r="P899">
        <v>100</v>
      </c>
      <c r="Q899">
        <v>200</v>
      </c>
      <c r="R899">
        <v>0.5</v>
      </c>
      <c r="S899">
        <v>0.9</v>
      </c>
      <c r="T899">
        <v>10.4</v>
      </c>
      <c r="V899">
        <v>845</v>
      </c>
      <c r="W899">
        <v>15</v>
      </c>
      <c r="X899" t="s">
        <v>128</v>
      </c>
    </row>
    <row r="900" spans="1:24">
      <c r="A900" t="str">
        <f>Hyperlink("https://www.diodes.com/part/view/DMP2035U","DMP2035U")</f>
        <v>DMP2035U</v>
      </c>
      <c r="B900" t="str">
        <f>Hyperlink("https://www.diodes.com/assets/Datasheets/DMP2035U.pdf","DMP2035U Datasheet")</f>
        <v>DMP2035U Datasheet</v>
      </c>
      <c r="C900" t="s">
        <v>51</v>
      </c>
      <c r="D900" t="s">
        <v>25</v>
      </c>
      <c r="E900" t="s">
        <v>26</v>
      </c>
      <c r="F900" t="s">
        <v>52</v>
      </c>
      <c r="G900" t="s">
        <v>25</v>
      </c>
      <c r="H900">
        <v>20</v>
      </c>
      <c r="I900">
        <v>10</v>
      </c>
      <c r="J900">
        <v>4.9</v>
      </c>
      <c r="L900">
        <v>1.2</v>
      </c>
      <c r="O900">
        <v>35</v>
      </c>
      <c r="P900">
        <v>45</v>
      </c>
      <c r="Q900">
        <v>62</v>
      </c>
      <c r="R900">
        <v>0.4</v>
      </c>
      <c r="S900">
        <v>1</v>
      </c>
      <c r="T900">
        <v>15.4</v>
      </c>
      <c r="V900">
        <v>1610</v>
      </c>
      <c r="W900">
        <v>10</v>
      </c>
      <c r="X900" t="s">
        <v>32</v>
      </c>
    </row>
    <row r="901" spans="1:24">
      <c r="A901" t="str">
        <f>Hyperlink("https://www.diodes.com/part/view/DMP2035UFCL","DMP2035UFCL")</f>
        <v>DMP2035UFCL</v>
      </c>
      <c r="B901" t="str">
        <f>Hyperlink("https://www.diodes.com/assets/Datasheets/DMP2035UFCL.pdf","DMP2035UFCL Datasheet")</f>
        <v>DMP2035UFCL Datasheet</v>
      </c>
      <c r="C901" t="s">
        <v>51</v>
      </c>
      <c r="D901" t="s">
        <v>25</v>
      </c>
      <c r="E901" t="s">
        <v>26</v>
      </c>
      <c r="F901" t="s">
        <v>52</v>
      </c>
      <c r="G901" t="s">
        <v>25</v>
      </c>
      <c r="H901">
        <v>20</v>
      </c>
      <c r="I901">
        <v>8</v>
      </c>
      <c r="J901">
        <v>6.6</v>
      </c>
      <c r="L901">
        <v>1.6</v>
      </c>
      <c r="O901">
        <v>24</v>
      </c>
      <c r="P901">
        <v>31</v>
      </c>
      <c r="Q901">
        <v>45</v>
      </c>
      <c r="R901">
        <v>0.4</v>
      </c>
      <c r="S901">
        <v>1</v>
      </c>
      <c r="T901">
        <v>15.4</v>
      </c>
      <c r="U901" t="s">
        <v>796</v>
      </c>
      <c r="V901">
        <v>1610</v>
      </c>
      <c r="W901">
        <v>10</v>
      </c>
      <c r="X901" t="s">
        <v>797</v>
      </c>
    </row>
    <row r="902" spans="1:24">
      <c r="A902" t="str">
        <f>Hyperlink("https://www.diodes.com/part/view/DMP2035UFDF","DMP2035UFDF")</f>
        <v>DMP2035UFDF</v>
      </c>
      <c r="B902" t="str">
        <f>Hyperlink("https://www.diodes.com/assets/Datasheets/DMP2035UFDF.pdf","DMP2035UFDF Datasheet")</f>
        <v>DMP2035UFDF Datasheet</v>
      </c>
      <c r="C902" t="s">
        <v>51</v>
      </c>
      <c r="D902" t="s">
        <v>25</v>
      </c>
      <c r="E902" t="s">
        <v>26</v>
      </c>
      <c r="F902" t="s">
        <v>52</v>
      </c>
      <c r="G902" t="s">
        <v>25</v>
      </c>
      <c r="H902">
        <v>20</v>
      </c>
      <c r="I902">
        <v>8</v>
      </c>
      <c r="J902">
        <v>6.9</v>
      </c>
      <c r="L902">
        <v>2.03</v>
      </c>
      <c r="O902">
        <v>29</v>
      </c>
      <c r="P902">
        <v>39</v>
      </c>
      <c r="Q902">
        <v>60</v>
      </c>
      <c r="R902">
        <v>0.4</v>
      </c>
      <c r="S902">
        <v>1</v>
      </c>
      <c r="T902">
        <v>20.5</v>
      </c>
      <c r="V902">
        <v>1808</v>
      </c>
      <c r="W902">
        <v>15</v>
      </c>
      <c r="X902" t="s">
        <v>568</v>
      </c>
    </row>
    <row r="903" spans="1:24">
      <c r="A903" t="str">
        <f>Hyperlink("https://www.diodes.com/part/view/DMP2035UTS","DMP2035UTS")</f>
        <v>DMP2035UTS</v>
      </c>
      <c r="B903" t="str">
        <f>Hyperlink("https://www.diodes.com/assets/Datasheets/ds31940.pdf","DMP2035UTS Datasheet")</f>
        <v>DMP2035UTS Datasheet</v>
      </c>
      <c r="C903" t="s">
        <v>77</v>
      </c>
      <c r="D903" t="s">
        <v>25</v>
      </c>
      <c r="E903" t="s">
        <v>26</v>
      </c>
      <c r="F903" t="s">
        <v>78</v>
      </c>
      <c r="G903" t="s">
        <v>25</v>
      </c>
      <c r="H903">
        <v>20</v>
      </c>
      <c r="I903">
        <v>8</v>
      </c>
      <c r="J903">
        <v>6.04</v>
      </c>
      <c r="L903">
        <v>0.89</v>
      </c>
      <c r="O903">
        <v>35</v>
      </c>
      <c r="P903">
        <v>45</v>
      </c>
      <c r="Q903">
        <v>62</v>
      </c>
      <c r="R903">
        <v>0.4</v>
      </c>
      <c r="S903">
        <v>1</v>
      </c>
      <c r="T903">
        <v>15.4</v>
      </c>
      <c r="V903">
        <v>1610</v>
      </c>
      <c r="W903">
        <v>10</v>
      </c>
      <c r="X903" t="s">
        <v>528</v>
      </c>
    </row>
    <row r="904" spans="1:24">
      <c r="A904" t="str">
        <f>Hyperlink("https://www.diodes.com/part/view/DMP2035UVT","DMP2035UVT")</f>
        <v>DMP2035UVT</v>
      </c>
      <c r="B904" t="str">
        <f>Hyperlink("https://www.diodes.com/assets/Datasheets/DMP2035UVT.pdf","DMP2035UVT Datasheet")</f>
        <v>DMP2035UVT Datasheet</v>
      </c>
      <c r="C904" t="s">
        <v>51</v>
      </c>
      <c r="D904" t="s">
        <v>25</v>
      </c>
      <c r="E904" t="s">
        <v>26</v>
      </c>
      <c r="F904" t="s">
        <v>52</v>
      </c>
      <c r="G904" t="s">
        <v>25</v>
      </c>
      <c r="H904">
        <v>20</v>
      </c>
      <c r="I904">
        <v>12</v>
      </c>
      <c r="J904">
        <v>6</v>
      </c>
      <c r="L904">
        <v>2</v>
      </c>
      <c r="O904">
        <v>35</v>
      </c>
      <c r="P904">
        <v>45</v>
      </c>
      <c r="Q904">
        <v>62</v>
      </c>
      <c r="R904">
        <v>0.4</v>
      </c>
      <c r="S904">
        <v>1.5</v>
      </c>
      <c r="T904">
        <v>15.4</v>
      </c>
      <c r="V904">
        <v>1610</v>
      </c>
      <c r="W904">
        <v>10</v>
      </c>
      <c r="X904" t="s">
        <v>128</v>
      </c>
    </row>
    <row r="905" spans="1:24">
      <c r="A905" t="str">
        <f>Hyperlink("https://www.diodes.com/part/view/DMP2035UVTQ","DMP2035UVTQ")</f>
        <v>DMP2035UVTQ</v>
      </c>
      <c r="B905" t="str">
        <f>Hyperlink("https://www.diodes.com/assets/Datasheets/DMP2035UVTQ.pdf","DMP2035UVTQ Datasheet")</f>
        <v>DMP2035UVTQ Datasheet</v>
      </c>
      <c r="C905" t="s">
        <v>51</v>
      </c>
      <c r="D905" t="s">
        <v>25</v>
      </c>
      <c r="E905" t="s">
        <v>33</v>
      </c>
      <c r="F905" t="s">
        <v>52</v>
      </c>
      <c r="G905" t="s">
        <v>25</v>
      </c>
      <c r="H905">
        <v>20</v>
      </c>
      <c r="I905">
        <v>12</v>
      </c>
      <c r="J905">
        <v>6</v>
      </c>
      <c r="L905">
        <v>2</v>
      </c>
      <c r="O905">
        <v>35</v>
      </c>
      <c r="P905">
        <v>45</v>
      </c>
      <c r="Q905">
        <v>62</v>
      </c>
      <c r="R905">
        <v>0.4</v>
      </c>
      <c r="S905">
        <v>1.5</v>
      </c>
      <c r="T905">
        <v>15.4</v>
      </c>
      <c r="V905">
        <v>1610</v>
      </c>
      <c r="W905">
        <v>10</v>
      </c>
      <c r="X905" t="s">
        <v>128</v>
      </c>
    </row>
    <row r="906" spans="1:24">
      <c r="A906" t="str">
        <f>Hyperlink("https://www.diodes.com/part/view/DMP2036UVT","DMP2036UVT")</f>
        <v>DMP2036UVT</v>
      </c>
      <c r="B906" t="str">
        <f>Hyperlink("https://www.diodes.com/assets/Datasheets/DMP2036UVT.pdf","DMP2036UVT Datasheet")</f>
        <v>DMP2036UVT Datasheet</v>
      </c>
      <c r="C906" t="s">
        <v>51</v>
      </c>
      <c r="D906" t="s">
        <v>28</v>
      </c>
      <c r="E906" t="s">
        <v>26</v>
      </c>
      <c r="F906" t="s">
        <v>52</v>
      </c>
      <c r="G906" t="s">
        <v>25</v>
      </c>
      <c r="H906">
        <v>20</v>
      </c>
      <c r="I906">
        <v>8</v>
      </c>
      <c r="J906">
        <v>6</v>
      </c>
      <c r="L906">
        <v>1.5</v>
      </c>
      <c r="O906">
        <v>30</v>
      </c>
      <c r="P906">
        <v>39</v>
      </c>
      <c r="Q906">
        <v>58</v>
      </c>
      <c r="R906">
        <v>0.4</v>
      </c>
      <c r="S906">
        <v>1</v>
      </c>
      <c r="T906">
        <v>20.5</v>
      </c>
      <c r="V906">
        <v>1808</v>
      </c>
      <c r="W906">
        <v>15</v>
      </c>
      <c r="X906" t="s">
        <v>128</v>
      </c>
    </row>
    <row r="907" spans="1:24">
      <c r="A907" t="str">
        <f>Hyperlink("https://www.diodes.com/part/view/DMP2036UVTQ","DMP2036UVTQ")</f>
        <v>DMP2036UVTQ</v>
      </c>
      <c r="B907" t="str">
        <f>Hyperlink("https://www.diodes.com/assets/Datasheets/DMP2036UVTQ.pdf","DMP2036UVTQ Datasheet")</f>
        <v>DMP2036UVTQ Datasheet</v>
      </c>
      <c r="C907" t="s">
        <v>777</v>
      </c>
      <c r="D907" t="s">
        <v>25</v>
      </c>
      <c r="E907" t="s">
        <v>33</v>
      </c>
      <c r="F907" t="s">
        <v>52</v>
      </c>
      <c r="G907" t="s">
        <v>25</v>
      </c>
      <c r="H907">
        <v>20</v>
      </c>
      <c r="I907">
        <v>8</v>
      </c>
      <c r="J907">
        <v>6</v>
      </c>
      <c r="L907">
        <v>1.5</v>
      </c>
      <c r="O907">
        <v>30</v>
      </c>
      <c r="P907">
        <v>39</v>
      </c>
      <c r="R907">
        <v>0.4</v>
      </c>
      <c r="S907">
        <v>1</v>
      </c>
      <c r="T907">
        <v>20.5</v>
      </c>
      <c r="V907">
        <v>1808</v>
      </c>
      <c r="W907">
        <v>15</v>
      </c>
      <c r="X907" t="s">
        <v>128</v>
      </c>
    </row>
    <row r="908" spans="1:24">
      <c r="A908" t="str">
        <f>Hyperlink("https://www.diodes.com/part/view/DMP2037U","DMP2037U")</f>
        <v>DMP2037U</v>
      </c>
      <c r="B908" t="str">
        <f>Hyperlink("https://www.diodes.com/assets/Datasheets/DMP2037U.pdf","DMP2037U Datasheet")</f>
        <v>DMP2037U Datasheet</v>
      </c>
      <c r="C908" t="s">
        <v>51</v>
      </c>
      <c r="D908" t="s">
        <v>28</v>
      </c>
      <c r="E908" t="s">
        <v>26</v>
      </c>
      <c r="F908" t="s">
        <v>52</v>
      </c>
      <c r="G908" t="s">
        <v>25</v>
      </c>
      <c r="H908">
        <v>20</v>
      </c>
      <c r="I908">
        <v>10</v>
      </c>
      <c r="J908">
        <v>6.1</v>
      </c>
      <c r="L908">
        <v>1.6</v>
      </c>
      <c r="O908">
        <v>28</v>
      </c>
      <c r="P908">
        <v>43</v>
      </c>
      <c r="S908">
        <v>1.2</v>
      </c>
      <c r="T908">
        <v>8.4</v>
      </c>
      <c r="V908">
        <v>803</v>
      </c>
      <c r="W908">
        <v>10</v>
      </c>
      <c r="X908" t="s">
        <v>32</v>
      </c>
    </row>
    <row r="909" spans="1:24">
      <c r="A909" t="str">
        <f>Hyperlink("https://www.diodes.com/part/view/DMP2037UFCL","DMP2037UFCL")</f>
        <v>DMP2037UFCL</v>
      </c>
      <c r="B909" t="str">
        <f>Hyperlink("https://www.diodes.com/assets/Datasheets/DMP2037UFCL.pdf","DMP2037UFCL Datasheet")</f>
        <v>DMP2037UFCL Datasheet</v>
      </c>
      <c r="C909" t="s">
        <v>51</v>
      </c>
      <c r="D909" t="s">
        <v>28</v>
      </c>
      <c r="E909" t="s">
        <v>26</v>
      </c>
      <c r="F909" t="s">
        <v>52</v>
      </c>
      <c r="G909" t="s">
        <v>25</v>
      </c>
      <c r="H909">
        <v>20</v>
      </c>
      <c r="I909">
        <v>10</v>
      </c>
      <c r="J909">
        <v>8</v>
      </c>
      <c r="L909">
        <v>2.3</v>
      </c>
      <c r="O909">
        <v>28</v>
      </c>
      <c r="P909">
        <v>43</v>
      </c>
      <c r="R909">
        <v>0.5</v>
      </c>
      <c r="S909">
        <v>1.5</v>
      </c>
      <c r="T909">
        <v>8.5</v>
      </c>
      <c r="V909">
        <v>806</v>
      </c>
      <c r="W909">
        <v>10</v>
      </c>
      <c r="X909" t="s">
        <v>797</v>
      </c>
    </row>
    <row r="910" spans="1:24">
      <c r="A910" t="str">
        <f>Hyperlink("https://www.diodes.com/part/view/DMP2039UFDE","DMP2039UFDE")</f>
        <v>DMP2039UFDE</v>
      </c>
      <c r="B910" t="str">
        <f>Hyperlink("https://www.diodes.com/assets/Datasheets/DMP2039UFDE.pdf","DMP2039UFDE Datasheet")</f>
        <v>DMP2039UFDE Datasheet</v>
      </c>
      <c r="C910" t="s">
        <v>51</v>
      </c>
      <c r="D910" t="s">
        <v>25</v>
      </c>
      <c r="E910" t="s">
        <v>26</v>
      </c>
      <c r="F910" t="s">
        <v>52</v>
      </c>
      <c r="G910" t="s">
        <v>25</v>
      </c>
      <c r="H910">
        <v>25</v>
      </c>
      <c r="I910">
        <v>8</v>
      </c>
      <c r="J910">
        <v>6.7</v>
      </c>
      <c r="L910">
        <v>2</v>
      </c>
      <c r="O910">
        <v>27</v>
      </c>
      <c r="P910">
        <v>34</v>
      </c>
      <c r="Q910">
        <v>40</v>
      </c>
      <c r="R910">
        <v>0.4</v>
      </c>
      <c r="S910">
        <v>1</v>
      </c>
      <c r="T910">
        <v>28.2</v>
      </c>
      <c r="U910" t="s">
        <v>798</v>
      </c>
      <c r="V910">
        <v>2530</v>
      </c>
      <c r="W910">
        <v>15</v>
      </c>
      <c r="X910" t="s">
        <v>567</v>
      </c>
    </row>
    <row r="911" spans="1:24">
      <c r="A911" t="str">
        <f>Hyperlink("https://www.diodes.com/part/view/DMP2039UFDE4","DMP2039UFDE4")</f>
        <v>DMP2039UFDE4</v>
      </c>
      <c r="B911" t="str">
        <f>Hyperlink("https://www.diodes.com/assets/Datasheets/DMP2039UFDE4.pdf","DMP2039UFDE4 Datasheet")</f>
        <v>DMP2039UFDE4 Datasheet</v>
      </c>
      <c r="C911" t="s">
        <v>51</v>
      </c>
      <c r="D911" t="s">
        <v>25</v>
      </c>
      <c r="E911" t="s">
        <v>26</v>
      </c>
      <c r="F911" t="s">
        <v>52</v>
      </c>
      <c r="G911" t="s">
        <v>25</v>
      </c>
      <c r="H911">
        <v>25</v>
      </c>
      <c r="I911">
        <v>8</v>
      </c>
      <c r="J911">
        <v>7.3</v>
      </c>
      <c r="L911">
        <v>2.4</v>
      </c>
      <c r="O911">
        <v>26</v>
      </c>
      <c r="P911">
        <v>33</v>
      </c>
      <c r="Q911">
        <v>40</v>
      </c>
      <c r="R911">
        <v>0.4</v>
      </c>
      <c r="S911">
        <v>1</v>
      </c>
      <c r="T911">
        <v>28.2</v>
      </c>
      <c r="V911">
        <v>2530</v>
      </c>
      <c r="W911">
        <v>15</v>
      </c>
      <c r="X911" t="s">
        <v>799</v>
      </c>
    </row>
    <row r="912" spans="1:24">
      <c r="A912" t="str">
        <f>Hyperlink("https://www.diodes.com/part/view/DMP2040UFDF","DMP2040UFDF")</f>
        <v>DMP2040UFDF</v>
      </c>
      <c r="B912" t="str">
        <f>Hyperlink("https://www.diodes.com/assets/Datasheets/DMP2040UFDF.pdf","DMP2040UFDF Datasheet")</f>
        <v>DMP2040UFDF Datasheet</v>
      </c>
      <c r="C912" t="s">
        <v>51</v>
      </c>
      <c r="D912" t="s">
        <v>28</v>
      </c>
      <c r="E912" t="s">
        <v>26</v>
      </c>
      <c r="F912" t="s">
        <v>52</v>
      </c>
      <c r="G912" t="s">
        <v>28</v>
      </c>
      <c r="H912">
        <v>20</v>
      </c>
      <c r="I912">
        <v>12</v>
      </c>
      <c r="J912">
        <v>6.1</v>
      </c>
      <c r="K912">
        <v>13</v>
      </c>
      <c r="L912">
        <v>1.8</v>
      </c>
      <c r="O912">
        <v>32</v>
      </c>
      <c r="P912">
        <v>53</v>
      </c>
      <c r="R912">
        <v>0.6</v>
      </c>
      <c r="S912">
        <v>1.5</v>
      </c>
      <c r="T912">
        <v>8.6</v>
      </c>
      <c r="U912" t="s">
        <v>800</v>
      </c>
      <c r="V912">
        <v>834</v>
      </c>
      <c r="W912">
        <v>10</v>
      </c>
      <c r="X912" t="s">
        <v>568</v>
      </c>
    </row>
    <row r="913" spans="1:24">
      <c r="A913" t="str">
        <f>Hyperlink("https://www.diodes.com/part/view/DMP2040UND","DMP2040UND")</f>
        <v>DMP2040UND</v>
      </c>
      <c r="B913" t="str">
        <f>Hyperlink("https://www.diodes.com/assets/Datasheets/DMP2040UND.pdf","DMP2040UND Datasheet")</f>
        <v>DMP2040UND Datasheet</v>
      </c>
      <c r="C913" t="s">
        <v>80</v>
      </c>
      <c r="D913" t="s">
        <v>28</v>
      </c>
      <c r="E913" t="s">
        <v>26</v>
      </c>
      <c r="F913" t="s">
        <v>78</v>
      </c>
      <c r="G913" t="s">
        <v>28</v>
      </c>
      <c r="H913">
        <v>20</v>
      </c>
      <c r="I913">
        <v>12</v>
      </c>
      <c r="J913">
        <v>5.3</v>
      </c>
      <c r="L913">
        <v>1.4</v>
      </c>
      <c r="O913">
        <v>36</v>
      </c>
      <c r="P913">
        <v>60</v>
      </c>
      <c r="S913">
        <v>1.5</v>
      </c>
      <c r="T913">
        <v>9.6</v>
      </c>
      <c r="U913">
        <v>20</v>
      </c>
      <c r="X913" t="s">
        <v>529</v>
      </c>
    </row>
    <row r="914" spans="1:24">
      <c r="A914" t="str">
        <f>Hyperlink("https://www.diodes.com/part/view/DMP2040USD","DMP2040USD")</f>
        <v>DMP2040USD</v>
      </c>
      <c r="B914" t="str">
        <f>Hyperlink("https://www.diodes.com/assets/Datasheets/DMP2040USD.pdf","DMP2040USD Datasheet")</f>
        <v>DMP2040USD Datasheet</v>
      </c>
      <c r="C914" t="s">
        <v>801</v>
      </c>
      <c r="D914" t="s">
        <v>28</v>
      </c>
      <c r="E914" t="s">
        <v>26</v>
      </c>
      <c r="F914" t="s">
        <v>78</v>
      </c>
      <c r="G914" t="s">
        <v>28</v>
      </c>
      <c r="H914">
        <v>20</v>
      </c>
      <c r="I914">
        <v>12</v>
      </c>
      <c r="J914">
        <v>6.5</v>
      </c>
      <c r="L914">
        <v>1.6</v>
      </c>
      <c r="O914">
        <v>33</v>
      </c>
      <c r="P914">
        <v>52</v>
      </c>
      <c r="R914">
        <v>0.6</v>
      </c>
      <c r="S914">
        <v>1.5</v>
      </c>
      <c r="T914">
        <v>8.6</v>
      </c>
      <c r="U914" t="s">
        <v>800</v>
      </c>
      <c r="V914">
        <v>834</v>
      </c>
      <c r="W914">
        <v>10</v>
      </c>
      <c r="X914" t="s">
        <v>155</v>
      </c>
    </row>
    <row r="915" spans="1:24">
      <c r="A915" t="str">
        <f>Hyperlink("https://www.diodes.com/part/view/DMP2040USS","DMP2040USS")</f>
        <v>DMP2040USS</v>
      </c>
      <c r="B915" t="str">
        <f>Hyperlink("https://www.diodes.com/assets/Datasheets/DMP2040USS.pdf","DMP2040USS Datasheet")</f>
        <v>DMP2040USS Datasheet</v>
      </c>
      <c r="C915" t="s">
        <v>497</v>
      </c>
      <c r="D915" t="s">
        <v>28</v>
      </c>
      <c r="E915" t="s">
        <v>26</v>
      </c>
      <c r="F915" t="s">
        <v>52</v>
      </c>
      <c r="G915" t="s">
        <v>28</v>
      </c>
      <c r="H915">
        <v>20</v>
      </c>
      <c r="I915">
        <v>12</v>
      </c>
      <c r="J915">
        <v>7</v>
      </c>
      <c r="L915">
        <v>1.9</v>
      </c>
      <c r="O915">
        <v>33</v>
      </c>
      <c r="P915">
        <v>52</v>
      </c>
      <c r="R915">
        <v>0.6</v>
      </c>
      <c r="S915">
        <v>1.5</v>
      </c>
      <c r="T915">
        <v>8.6</v>
      </c>
      <c r="U915" t="s">
        <v>800</v>
      </c>
      <c r="V915">
        <v>834</v>
      </c>
      <c r="W915">
        <v>10</v>
      </c>
      <c r="X915" t="s">
        <v>155</v>
      </c>
    </row>
    <row r="916" spans="1:24">
      <c r="A916" t="str">
        <f>Hyperlink("https://www.diodes.com/part/view/DMP2040UVT","DMP2040UVT")</f>
        <v>DMP2040UVT</v>
      </c>
      <c r="B916" t="str">
        <f>Hyperlink("https://www.diodes.com/assets/Datasheets/DMP2040UVT.pdf","DMP2040UVT Datasheet")</f>
        <v>DMP2040UVT Datasheet</v>
      </c>
      <c r="C916" t="s">
        <v>51</v>
      </c>
      <c r="D916" t="s">
        <v>28</v>
      </c>
      <c r="E916" t="s">
        <v>26</v>
      </c>
      <c r="F916" t="s">
        <v>52</v>
      </c>
      <c r="G916" t="s">
        <v>28</v>
      </c>
      <c r="H916">
        <v>20</v>
      </c>
      <c r="I916">
        <v>12</v>
      </c>
      <c r="J916">
        <v>5.5</v>
      </c>
      <c r="L916">
        <v>1.5</v>
      </c>
      <c r="O916">
        <v>38</v>
      </c>
      <c r="P916">
        <v>52</v>
      </c>
      <c r="R916">
        <v>0.6</v>
      </c>
      <c r="S916">
        <v>1.5</v>
      </c>
      <c r="T916">
        <v>8.6</v>
      </c>
      <c r="U916" t="s">
        <v>800</v>
      </c>
      <c r="V916">
        <v>834</v>
      </c>
      <c r="W916">
        <v>10</v>
      </c>
      <c r="X916" t="s">
        <v>128</v>
      </c>
    </row>
    <row r="917" spans="1:24">
      <c r="A917" t="str">
        <f>Hyperlink("https://www.diodes.com/part/view/DMP2040UVTQ","DMP2040UVTQ")</f>
        <v>DMP2040UVTQ</v>
      </c>
      <c r="B917" t="str">
        <f>Hyperlink("https://www.diodes.com/assets/Datasheets/DMP2040UVTQ.pdf","DMP2040UVTQ Datasheet")</f>
        <v>DMP2040UVTQ Datasheet</v>
      </c>
      <c r="C917" t="s">
        <v>777</v>
      </c>
      <c r="D917" t="s">
        <v>25</v>
      </c>
      <c r="E917" t="s">
        <v>33</v>
      </c>
      <c r="F917" t="s">
        <v>52</v>
      </c>
      <c r="G917" t="s">
        <v>28</v>
      </c>
      <c r="H917">
        <v>20</v>
      </c>
      <c r="I917">
        <v>12</v>
      </c>
      <c r="J917">
        <v>5.5</v>
      </c>
      <c r="L917">
        <v>1.5</v>
      </c>
      <c r="O917">
        <v>38</v>
      </c>
      <c r="P917">
        <v>52</v>
      </c>
      <c r="R917">
        <v>0.6</v>
      </c>
      <c r="S917">
        <v>1.5</v>
      </c>
      <c r="T917">
        <v>8.6</v>
      </c>
      <c r="V917">
        <v>834</v>
      </c>
      <c r="W917">
        <v>10</v>
      </c>
      <c r="X917" t="s">
        <v>128</v>
      </c>
    </row>
    <row r="918" spans="1:24">
      <c r="A918" t="str">
        <f>Hyperlink("https://www.diodes.com/part/view/DMP2042UCP4","DMP2042UCP4")</f>
        <v>DMP2042UCP4</v>
      </c>
      <c r="B918" t="str">
        <f>Hyperlink("https://www.diodes.com/assets/Datasheets/DMP2042UCP4.pdf","DMP2042UCP4 Datasheet")</f>
        <v>DMP2042UCP4 Datasheet</v>
      </c>
      <c r="C918" t="s">
        <v>51</v>
      </c>
      <c r="D918" t="s">
        <v>28</v>
      </c>
      <c r="E918" t="s">
        <v>26</v>
      </c>
      <c r="F918" t="s">
        <v>52</v>
      </c>
      <c r="G918" t="s">
        <v>25</v>
      </c>
      <c r="H918">
        <v>20</v>
      </c>
      <c r="I918">
        <v>6</v>
      </c>
      <c r="J918">
        <v>3.4</v>
      </c>
      <c r="L918">
        <v>0.86</v>
      </c>
      <c r="O918">
        <v>48</v>
      </c>
      <c r="P918">
        <v>65</v>
      </c>
      <c r="R918">
        <v>0.4</v>
      </c>
      <c r="S918">
        <v>1.2</v>
      </c>
      <c r="T918">
        <v>2.5</v>
      </c>
      <c r="V918">
        <v>218</v>
      </c>
      <c r="W918">
        <v>10</v>
      </c>
      <c r="X918" t="s">
        <v>802</v>
      </c>
    </row>
    <row r="919" spans="1:24">
      <c r="A919" t="str">
        <f>Hyperlink("https://www.diodes.com/part/view/DMP2043UCA3","DMP2043UCA3")</f>
        <v>DMP2043UCA3</v>
      </c>
      <c r="B919" t="str">
        <f>Hyperlink("https://www.diodes.com/assets/Datasheets/DMP2043UCA3.pdf","DMP2043UCA3 Datasheet")</f>
        <v>DMP2043UCA3 Datasheet</v>
      </c>
      <c r="C919" t="s">
        <v>51</v>
      </c>
      <c r="D919" t="s">
        <v>28</v>
      </c>
      <c r="E919" t="s">
        <v>26</v>
      </c>
      <c r="F919" t="s">
        <v>52</v>
      </c>
      <c r="G919" t="s">
        <v>25</v>
      </c>
      <c r="H919">
        <v>20</v>
      </c>
      <c r="I919">
        <v>20</v>
      </c>
      <c r="J919">
        <v>4.2</v>
      </c>
      <c r="L919">
        <v>1.3</v>
      </c>
      <c r="O919">
        <v>45</v>
      </c>
      <c r="P919">
        <v>62</v>
      </c>
      <c r="R919">
        <v>0.4</v>
      </c>
      <c r="S919">
        <v>1.2</v>
      </c>
      <c r="T919">
        <v>1.46</v>
      </c>
      <c r="V919">
        <v>327</v>
      </c>
      <c r="W919">
        <v>10</v>
      </c>
      <c r="X919" t="s">
        <v>803</v>
      </c>
    </row>
    <row r="920" spans="1:24">
      <c r="A920" t="str">
        <f>Hyperlink("https://www.diodes.com/part/view/DMP2045U","DMP2045U")</f>
        <v>DMP2045U</v>
      </c>
      <c r="B920" t="str">
        <f>Hyperlink("https://www.diodes.com/assets/Datasheets/DMP2045U.pdf","DMP2045U Datasheet")</f>
        <v>DMP2045U Datasheet</v>
      </c>
      <c r="C920" t="s">
        <v>51</v>
      </c>
      <c r="D920" t="s">
        <v>28</v>
      </c>
      <c r="E920" t="s">
        <v>26</v>
      </c>
      <c r="F920" t="s">
        <v>52</v>
      </c>
      <c r="G920" t="s">
        <v>25</v>
      </c>
      <c r="H920">
        <v>20</v>
      </c>
      <c r="I920">
        <v>8</v>
      </c>
      <c r="J920">
        <v>4.3</v>
      </c>
      <c r="L920">
        <v>1.2</v>
      </c>
      <c r="O920">
        <v>45</v>
      </c>
      <c r="P920">
        <v>58</v>
      </c>
      <c r="Q920">
        <v>90</v>
      </c>
      <c r="R920">
        <v>0.3</v>
      </c>
      <c r="S920">
        <v>1</v>
      </c>
      <c r="T920">
        <v>6.8</v>
      </c>
      <c r="V920">
        <v>634</v>
      </c>
      <c r="W920">
        <v>10</v>
      </c>
      <c r="X920" t="s">
        <v>32</v>
      </c>
    </row>
    <row r="921" spans="1:24">
      <c r="A921" t="str">
        <f>Hyperlink("https://www.diodes.com/part/view/DMP2045UFDB","DMP2045UFDB")</f>
        <v>DMP2045UFDB</v>
      </c>
      <c r="B921" t="str">
        <f>Hyperlink("https://www.diodes.com/assets/Datasheets/DMP2045UFDB.pdf","DMP2045UFDB Datasheet")</f>
        <v>DMP2045UFDB Datasheet</v>
      </c>
      <c r="C921" t="s">
        <v>804</v>
      </c>
      <c r="D921" t="s">
        <v>28</v>
      </c>
      <c r="E921" t="s">
        <v>26</v>
      </c>
      <c r="F921" t="s">
        <v>78</v>
      </c>
      <c r="G921" t="s">
        <v>25</v>
      </c>
      <c r="H921">
        <v>20</v>
      </c>
      <c r="I921">
        <v>8</v>
      </c>
      <c r="J921">
        <v>3.1</v>
      </c>
      <c r="L921">
        <v>1.29</v>
      </c>
      <c r="O921">
        <v>90</v>
      </c>
      <c r="P921">
        <v>120</v>
      </c>
      <c r="R921">
        <v>0.3</v>
      </c>
      <c r="S921">
        <v>1</v>
      </c>
      <c r="T921">
        <v>6.8</v>
      </c>
      <c r="V921">
        <v>634</v>
      </c>
      <c r="W921">
        <v>10</v>
      </c>
      <c r="X921" t="s">
        <v>125</v>
      </c>
    </row>
    <row r="922" spans="1:24">
      <c r="A922" t="str">
        <f>Hyperlink("https://www.diodes.com/part/view/DMP2045UFY4","DMP2045UFY4")</f>
        <v>DMP2045UFY4</v>
      </c>
      <c r="B922" t="str">
        <f>Hyperlink("https://www.diodes.com/assets/Datasheets/DMP2045UFY4.pdf","DMP2045UFY4 Datasheet")</f>
        <v>DMP2045UFY4 Datasheet</v>
      </c>
      <c r="C922" t="s">
        <v>497</v>
      </c>
      <c r="D922" t="s">
        <v>25</v>
      </c>
      <c r="E922" t="s">
        <v>26</v>
      </c>
      <c r="F922" t="s">
        <v>52</v>
      </c>
      <c r="G922" t="s">
        <v>28</v>
      </c>
      <c r="H922">
        <v>20</v>
      </c>
      <c r="I922">
        <v>8</v>
      </c>
      <c r="J922">
        <v>4.7</v>
      </c>
      <c r="L922">
        <v>1.49</v>
      </c>
      <c r="O922">
        <v>45</v>
      </c>
      <c r="P922">
        <v>58</v>
      </c>
      <c r="Q922">
        <v>90</v>
      </c>
      <c r="R922">
        <v>0.3</v>
      </c>
      <c r="S922">
        <v>1</v>
      </c>
      <c r="T922">
        <v>6.8</v>
      </c>
      <c r="V922">
        <v>634</v>
      </c>
      <c r="W922">
        <v>10</v>
      </c>
      <c r="X922" t="s">
        <v>505</v>
      </c>
    </row>
    <row r="923" spans="1:24">
      <c r="A923" t="str">
        <f>Hyperlink("https://www.diodes.com/part/view/DMP2045UQ","DMP2045UQ")</f>
        <v>DMP2045UQ</v>
      </c>
      <c r="B923" t="str">
        <f>Hyperlink("https://www.diodes.com/assets/Datasheets/DMP2045UQ.pdf","DMP2045UQ Datasheet")</f>
        <v>DMP2045UQ Datasheet</v>
      </c>
      <c r="C923" t="s">
        <v>51</v>
      </c>
      <c r="D923" t="s">
        <v>25</v>
      </c>
      <c r="E923" t="s">
        <v>33</v>
      </c>
      <c r="F923" t="s">
        <v>52</v>
      </c>
      <c r="G923" t="s">
        <v>25</v>
      </c>
      <c r="H923">
        <v>20</v>
      </c>
      <c r="I923">
        <v>8</v>
      </c>
      <c r="J923">
        <v>4.3</v>
      </c>
      <c r="L923">
        <v>1.2</v>
      </c>
      <c r="O923">
        <v>45</v>
      </c>
      <c r="P923">
        <v>58</v>
      </c>
      <c r="Q923">
        <v>90</v>
      </c>
      <c r="R923">
        <v>0.3</v>
      </c>
      <c r="S923">
        <v>1</v>
      </c>
      <c r="T923">
        <v>6.8</v>
      </c>
      <c r="V923">
        <v>634</v>
      </c>
      <c r="W923">
        <v>10</v>
      </c>
      <c r="X923" t="s">
        <v>32</v>
      </c>
    </row>
    <row r="924" spans="1:24">
      <c r="A924" t="str">
        <f>Hyperlink("https://www.diodes.com/part/view/DMP2047UCB4","DMP2047UCB4")</f>
        <v>DMP2047UCB4</v>
      </c>
      <c r="B924" t="str">
        <f>Hyperlink("https://www.diodes.com/assets/Datasheets/DMP2047UCB4.pdf","DMP2047UCB4 Datasheet")</f>
        <v>DMP2047UCB4 Datasheet</v>
      </c>
      <c r="C924" t="s">
        <v>51</v>
      </c>
      <c r="D924" t="s">
        <v>25</v>
      </c>
      <c r="E924" t="s">
        <v>26</v>
      </c>
      <c r="F924" t="s">
        <v>52</v>
      </c>
      <c r="G924" t="s">
        <v>25</v>
      </c>
      <c r="H924">
        <v>20</v>
      </c>
      <c r="I924">
        <v>6</v>
      </c>
      <c r="J924">
        <v>4.1</v>
      </c>
      <c r="L924">
        <v>1.6</v>
      </c>
      <c r="O924">
        <v>47</v>
      </c>
      <c r="P924">
        <v>60</v>
      </c>
      <c r="R924">
        <v>0.4</v>
      </c>
      <c r="S924">
        <v>1.2</v>
      </c>
      <c r="T924">
        <v>2.3</v>
      </c>
      <c r="V924">
        <v>218</v>
      </c>
      <c r="W924">
        <v>10</v>
      </c>
      <c r="X924" t="s">
        <v>805</v>
      </c>
    </row>
    <row r="925" spans="1:24">
      <c r="A925" t="str">
        <f>Hyperlink("https://www.diodes.com/part/view/DMP2056UCA4","DMP2056UCA4")</f>
        <v>DMP2056UCA4</v>
      </c>
      <c r="B925" t="str">
        <f>Hyperlink("https://www.diodes.com/assets/Datasheets/DMP2056UCA4.pdf","DMP2056UCA4 Datasheet")</f>
        <v>DMP2056UCA4 Datasheet</v>
      </c>
      <c r="C925" t="s">
        <v>777</v>
      </c>
      <c r="D925" t="s">
        <v>25</v>
      </c>
      <c r="E925" t="s">
        <v>26</v>
      </c>
      <c r="F925" t="s">
        <v>52</v>
      </c>
      <c r="G925" t="s">
        <v>25</v>
      </c>
      <c r="H925">
        <v>20</v>
      </c>
      <c r="I925">
        <v>8</v>
      </c>
      <c r="J925">
        <v>4.4</v>
      </c>
      <c r="L925">
        <v>1.87</v>
      </c>
      <c r="O925">
        <v>64</v>
      </c>
      <c r="P925">
        <v>80</v>
      </c>
      <c r="Q925">
        <v>130</v>
      </c>
      <c r="R925">
        <v>0.4</v>
      </c>
      <c r="S925">
        <v>1.1</v>
      </c>
      <c r="T925">
        <v>4.9</v>
      </c>
      <c r="U925" t="s">
        <v>806</v>
      </c>
      <c r="V925">
        <v>437</v>
      </c>
      <c r="W925">
        <v>10</v>
      </c>
      <c r="X925" t="s">
        <v>807</v>
      </c>
    </row>
    <row r="926" spans="1:24">
      <c r="A926" t="str">
        <f>Hyperlink("https://www.diodes.com/part/view/DMP2065U","DMP2065U")</f>
        <v>DMP2065U</v>
      </c>
      <c r="B926" t="str">
        <f>Hyperlink("https://www.diodes.com/assets/Datasheets/DMP2065U.pdf","DMP2065U Datasheet")</f>
        <v>DMP2065U Datasheet</v>
      </c>
      <c r="C926" t="s">
        <v>497</v>
      </c>
      <c r="D926" t="s">
        <v>28</v>
      </c>
      <c r="E926" t="s">
        <v>26</v>
      </c>
      <c r="F926" t="s">
        <v>52</v>
      </c>
      <c r="G926" t="s">
        <v>28</v>
      </c>
      <c r="H926">
        <v>20</v>
      </c>
      <c r="I926">
        <v>12</v>
      </c>
      <c r="J926">
        <v>4</v>
      </c>
      <c r="L926">
        <v>1.5</v>
      </c>
      <c r="O926">
        <v>60</v>
      </c>
      <c r="P926">
        <v>90</v>
      </c>
      <c r="Q926">
        <v>113</v>
      </c>
      <c r="S926">
        <v>0.9</v>
      </c>
      <c r="T926">
        <v>10.2</v>
      </c>
      <c r="X926" t="s">
        <v>32</v>
      </c>
    </row>
    <row r="927" spans="1:24">
      <c r="A927" t="str">
        <f>Hyperlink("https://www.diodes.com/part/view/DMP2065UFDB","DMP2065UFDB")</f>
        <v>DMP2065UFDB</v>
      </c>
      <c r="B927" t="str">
        <f>Hyperlink("https://www.diodes.com/assets/Datasheets/DMP2065UFDB.pdf","DMP2065UFDB Datasheet")</f>
        <v>DMP2065UFDB Datasheet</v>
      </c>
      <c r="C927" t="s">
        <v>80</v>
      </c>
      <c r="D927" t="s">
        <v>25</v>
      </c>
      <c r="E927" t="s">
        <v>26</v>
      </c>
      <c r="F927" t="s">
        <v>78</v>
      </c>
      <c r="G927" t="s">
        <v>28</v>
      </c>
      <c r="H927">
        <v>20</v>
      </c>
      <c r="I927">
        <v>12</v>
      </c>
      <c r="J927">
        <v>4.5</v>
      </c>
      <c r="L927">
        <v>1.54</v>
      </c>
      <c r="O927">
        <v>50</v>
      </c>
      <c r="P927">
        <v>100</v>
      </c>
      <c r="Q927">
        <v>150</v>
      </c>
      <c r="R927">
        <v>0.4</v>
      </c>
      <c r="S927">
        <v>1</v>
      </c>
      <c r="T927">
        <v>9.1</v>
      </c>
      <c r="V927">
        <v>752</v>
      </c>
      <c r="W927">
        <v>15</v>
      </c>
      <c r="X927" t="s">
        <v>125</v>
      </c>
    </row>
    <row r="928" spans="1:24">
      <c r="A928" t="str">
        <f>Hyperlink("https://www.diodes.com/part/view/DMP2065UQ","DMP2065UQ")</f>
        <v>DMP2065UQ</v>
      </c>
      <c r="B928" t="str">
        <f>Hyperlink("https://www.diodes.com/assets/Datasheets/DMP2065UQ.pdf","DMP2065UQ Datasheet")</f>
        <v>DMP2065UQ Datasheet</v>
      </c>
      <c r="C928" t="s">
        <v>497</v>
      </c>
      <c r="D928" t="s">
        <v>25</v>
      </c>
      <c r="E928" t="s">
        <v>33</v>
      </c>
      <c r="F928" t="s">
        <v>52</v>
      </c>
      <c r="G928" t="s">
        <v>28</v>
      </c>
      <c r="H928">
        <v>20</v>
      </c>
      <c r="I928">
        <v>12</v>
      </c>
      <c r="J928">
        <v>4</v>
      </c>
      <c r="L928">
        <v>1.5</v>
      </c>
      <c r="O928">
        <v>60</v>
      </c>
      <c r="P928">
        <v>90</v>
      </c>
      <c r="Q928">
        <v>113</v>
      </c>
      <c r="S928">
        <v>0.9</v>
      </c>
      <c r="T928">
        <v>10.2</v>
      </c>
      <c r="X928" t="s">
        <v>32</v>
      </c>
    </row>
    <row r="929" spans="1:24">
      <c r="A929" t="str">
        <f>Hyperlink("https://www.diodes.com/part/view/DMP2066LSN","DMP2066LSN")</f>
        <v>DMP2066LSN</v>
      </c>
      <c r="B929" t="str">
        <f>Hyperlink("https://www.diodes.com/assets/Datasheets/ds31467.pdf","DMP2066LSN Datasheet")</f>
        <v>DMP2066LSN Datasheet</v>
      </c>
      <c r="C929" t="s">
        <v>51</v>
      </c>
      <c r="D929" t="s">
        <v>25</v>
      </c>
      <c r="E929" t="s">
        <v>26</v>
      </c>
      <c r="F929" t="s">
        <v>52</v>
      </c>
      <c r="G929" t="s">
        <v>28</v>
      </c>
      <c r="H929">
        <v>20</v>
      </c>
      <c r="I929">
        <v>12</v>
      </c>
      <c r="J929">
        <v>4.6</v>
      </c>
      <c r="L929">
        <v>1.25</v>
      </c>
      <c r="O929">
        <v>40</v>
      </c>
      <c r="P929">
        <v>70</v>
      </c>
      <c r="R929">
        <v>0.6</v>
      </c>
      <c r="S929">
        <v>1.2</v>
      </c>
      <c r="T929">
        <v>10.1</v>
      </c>
      <c r="V929">
        <v>820</v>
      </c>
      <c r="W929">
        <v>15</v>
      </c>
      <c r="X929" t="s">
        <v>63</v>
      </c>
    </row>
    <row r="930" spans="1:24">
      <c r="A930" t="str">
        <f>Hyperlink("https://www.diodes.com/part/view/DMP2066LVT","DMP2066LVT")</f>
        <v>DMP2066LVT</v>
      </c>
      <c r="B930" t="str">
        <f>Hyperlink("https://www.diodes.com/assets/Datasheets/products_inactive_data/DMP2066LVT.pdf","DMP2066LVT Datasheet")</f>
        <v>DMP2066LVT Datasheet</v>
      </c>
      <c r="C930" t="s">
        <v>51</v>
      </c>
      <c r="D930" t="s">
        <v>25</v>
      </c>
      <c r="E930" t="s">
        <v>26</v>
      </c>
      <c r="F930" t="s">
        <v>52</v>
      </c>
      <c r="G930" t="s">
        <v>28</v>
      </c>
      <c r="H930">
        <v>20</v>
      </c>
      <c r="I930">
        <v>8</v>
      </c>
      <c r="J930">
        <v>4.5</v>
      </c>
      <c r="L930">
        <v>1.8</v>
      </c>
      <c r="O930">
        <v>45</v>
      </c>
      <c r="P930">
        <v>65</v>
      </c>
      <c r="R930">
        <v>0.4</v>
      </c>
      <c r="S930">
        <v>1.5</v>
      </c>
      <c r="T930">
        <v>14.4</v>
      </c>
      <c r="V930">
        <v>1496</v>
      </c>
      <c r="W930">
        <v>15</v>
      </c>
      <c r="X930" t="s">
        <v>128</v>
      </c>
    </row>
    <row r="931" spans="1:24">
      <c r="A931" t="str">
        <f>Hyperlink("https://www.diodes.com/part/view/DMP2066UFDE","DMP2066UFDE")</f>
        <v>DMP2066UFDE</v>
      </c>
      <c r="B931" t="str">
        <f>Hyperlink("https://www.diodes.com/assets/Datasheets/DMP2066UFDE.pdf","DMP2066UFDE Datasheet")</f>
        <v>DMP2066UFDE Datasheet</v>
      </c>
      <c r="C931" t="s">
        <v>51</v>
      </c>
      <c r="D931" t="s">
        <v>25</v>
      </c>
      <c r="E931" t="s">
        <v>26</v>
      </c>
      <c r="F931" t="s">
        <v>52</v>
      </c>
      <c r="G931" t="s">
        <v>28</v>
      </c>
      <c r="H931">
        <v>20</v>
      </c>
      <c r="I931">
        <v>12</v>
      </c>
      <c r="J931">
        <v>6.2</v>
      </c>
      <c r="L931">
        <v>2.03</v>
      </c>
      <c r="O931">
        <v>36</v>
      </c>
      <c r="P931">
        <v>56</v>
      </c>
      <c r="Q931">
        <v>75</v>
      </c>
      <c r="R931">
        <v>0.4</v>
      </c>
      <c r="S931">
        <v>1.1</v>
      </c>
      <c r="T931">
        <v>14.4</v>
      </c>
      <c r="V931">
        <v>1537</v>
      </c>
      <c r="W931">
        <v>10</v>
      </c>
      <c r="X931" t="s">
        <v>567</v>
      </c>
    </row>
    <row r="932" spans="1:24">
      <c r="A932" t="str">
        <f>Hyperlink("https://www.diodes.com/part/view/DMP2067LSS","DMP2067LSS")</f>
        <v>DMP2067LSS</v>
      </c>
      <c r="B932" t="str">
        <f>Hyperlink("https://www.diodes.com/assets/Datasheets/DMP2067LSS.pdf","DMP2067LSS Datasheet")</f>
        <v>DMP2067LSS Datasheet</v>
      </c>
      <c r="C932" t="s">
        <v>51</v>
      </c>
      <c r="D932" t="s">
        <v>28</v>
      </c>
      <c r="E932" t="s">
        <v>26</v>
      </c>
      <c r="F932" t="s">
        <v>52</v>
      </c>
      <c r="G932" t="s">
        <v>28</v>
      </c>
      <c r="H932">
        <v>30</v>
      </c>
      <c r="I932">
        <v>20</v>
      </c>
      <c r="J932">
        <v>5.4</v>
      </c>
      <c r="K932">
        <v>12.9</v>
      </c>
      <c r="L932">
        <v>2</v>
      </c>
      <c r="O932">
        <v>38</v>
      </c>
      <c r="P932">
        <v>56</v>
      </c>
      <c r="R932">
        <v>0.5</v>
      </c>
      <c r="S932">
        <v>1.5</v>
      </c>
      <c r="T932">
        <v>27.9</v>
      </c>
      <c r="U932" t="s">
        <v>808</v>
      </c>
      <c r="V932">
        <v>1575</v>
      </c>
      <c r="W932">
        <v>10</v>
      </c>
      <c r="X932" t="s">
        <v>155</v>
      </c>
    </row>
    <row r="933" spans="1:24">
      <c r="A933" t="str">
        <f>Hyperlink("https://www.diodes.com/part/view/DMP2067LVT","DMP2067LVT")</f>
        <v>DMP2067LVT</v>
      </c>
      <c r="B933" t="str">
        <f>Hyperlink("https://www.diodes.com/assets/Datasheets/DMP2067LVT.pdf","DMP2067LVT Datasheet")</f>
        <v>DMP2067LVT Datasheet</v>
      </c>
      <c r="C933" t="s">
        <v>51</v>
      </c>
      <c r="D933" t="s">
        <v>28</v>
      </c>
      <c r="E933" t="s">
        <v>26</v>
      </c>
      <c r="F933" t="s">
        <v>52</v>
      </c>
      <c r="G933" t="s">
        <v>28</v>
      </c>
      <c r="H933">
        <v>20</v>
      </c>
      <c r="I933">
        <v>8</v>
      </c>
      <c r="J933">
        <v>4.2</v>
      </c>
      <c r="L933">
        <v>1.6</v>
      </c>
      <c r="O933">
        <v>45</v>
      </c>
      <c r="P933">
        <v>65</v>
      </c>
      <c r="R933">
        <v>0.4</v>
      </c>
      <c r="S933">
        <v>1.5</v>
      </c>
      <c r="T933">
        <v>15</v>
      </c>
      <c r="U933" t="s">
        <v>809</v>
      </c>
      <c r="V933">
        <v>1575</v>
      </c>
      <c r="W933">
        <v>10</v>
      </c>
      <c r="X933" t="s">
        <v>128</v>
      </c>
    </row>
    <row r="934" spans="1:24">
      <c r="A934" t="str">
        <f>Hyperlink("https://www.diodes.com/part/view/DMP2067LVTQ","DMP2067LVTQ")</f>
        <v>DMP2067LVTQ</v>
      </c>
      <c r="B934" t="str">
        <f>Hyperlink("https://www.diodes.com/assets/Datasheets/DMP2067LVTQ.pdf","DMP2067LVTQ Datasheet")</f>
        <v>DMP2067LVTQ Datasheet</v>
      </c>
      <c r="C934" t="s">
        <v>777</v>
      </c>
      <c r="D934" t="s">
        <v>25</v>
      </c>
      <c r="E934" t="s">
        <v>33</v>
      </c>
      <c r="F934" t="s">
        <v>52</v>
      </c>
      <c r="G934" t="s">
        <v>28</v>
      </c>
      <c r="H934">
        <v>20</v>
      </c>
      <c r="I934">
        <v>8</v>
      </c>
      <c r="J934">
        <v>4.2</v>
      </c>
      <c r="L934">
        <v>1.2</v>
      </c>
      <c r="O934">
        <v>45</v>
      </c>
      <c r="P934">
        <v>65</v>
      </c>
      <c r="R934">
        <v>0.4</v>
      </c>
      <c r="S934">
        <v>1.5</v>
      </c>
      <c r="T934">
        <v>15</v>
      </c>
      <c r="U934" t="s">
        <v>809</v>
      </c>
      <c r="V934">
        <v>1575</v>
      </c>
      <c r="W934">
        <v>10</v>
      </c>
      <c r="X934" t="s">
        <v>128</v>
      </c>
    </row>
    <row r="935" spans="1:24">
      <c r="A935" t="str">
        <f>Hyperlink("https://www.diodes.com/part/view/DMP2069UFY4","DMP2069UFY4")</f>
        <v>DMP2069UFY4</v>
      </c>
      <c r="B935" t="str">
        <f>Hyperlink("https://www.diodes.com/assets/Datasheets/ds31949.pdf","DMP2069UFY4 Datasheet")</f>
        <v>DMP2069UFY4 Datasheet</v>
      </c>
      <c r="C935" t="s">
        <v>51</v>
      </c>
      <c r="D935" t="s">
        <v>25</v>
      </c>
      <c r="E935" t="s">
        <v>26</v>
      </c>
      <c r="F935" t="s">
        <v>52</v>
      </c>
      <c r="G935" t="s">
        <v>25</v>
      </c>
      <c r="H935">
        <v>20</v>
      </c>
      <c r="I935">
        <v>8</v>
      </c>
      <c r="J935">
        <v>2.5</v>
      </c>
      <c r="L935">
        <v>0.53</v>
      </c>
      <c r="O935">
        <v>54</v>
      </c>
      <c r="P935">
        <v>69</v>
      </c>
      <c r="Q935">
        <v>90</v>
      </c>
      <c r="R935">
        <v>0.3</v>
      </c>
      <c r="S935">
        <v>1</v>
      </c>
      <c r="T935">
        <v>9.1</v>
      </c>
      <c r="V935">
        <v>214</v>
      </c>
      <c r="W935">
        <v>10</v>
      </c>
      <c r="X935" t="s">
        <v>505</v>
      </c>
    </row>
    <row r="936" spans="1:24">
      <c r="A936" t="str">
        <f>Hyperlink("https://www.diodes.com/part/view/DMP2069UFY4Q","DMP2069UFY4Q")</f>
        <v>DMP2069UFY4Q</v>
      </c>
      <c r="B936" t="str">
        <f>Hyperlink("https://www.diodes.com/assets/Datasheets/DMP2069UFY4Q.pdf","DMP2069UFY4Q Datasheet")</f>
        <v>DMP2069UFY4Q Datasheet</v>
      </c>
      <c r="C936" t="s">
        <v>51</v>
      </c>
      <c r="D936" t="s">
        <v>25</v>
      </c>
      <c r="E936" t="s">
        <v>33</v>
      </c>
      <c r="F936" t="s">
        <v>52</v>
      </c>
      <c r="G936" t="s">
        <v>25</v>
      </c>
      <c r="H936">
        <v>20</v>
      </c>
      <c r="I936">
        <v>8</v>
      </c>
      <c r="J936">
        <v>2.5</v>
      </c>
      <c r="L936">
        <v>0.53</v>
      </c>
      <c r="O936">
        <v>54</v>
      </c>
      <c r="P936">
        <v>69</v>
      </c>
      <c r="Q936">
        <v>90</v>
      </c>
      <c r="S936">
        <v>1</v>
      </c>
      <c r="V936">
        <v>214</v>
      </c>
      <c r="W936">
        <v>10</v>
      </c>
      <c r="X936" t="s">
        <v>505</v>
      </c>
    </row>
    <row r="937" spans="1:24">
      <c r="A937" t="str">
        <f>Hyperlink("https://www.diodes.com/part/view/DMP2070U","DMP2070U")</f>
        <v>DMP2070U</v>
      </c>
      <c r="B937" t="str">
        <f>Hyperlink("https://www.diodes.com/assets/Datasheets/DMP2070U.pdf","DMP2070U Datasheet")</f>
        <v>DMP2070U Datasheet</v>
      </c>
      <c r="C937" t="s">
        <v>51</v>
      </c>
      <c r="D937" t="s">
        <v>28</v>
      </c>
      <c r="E937" t="s">
        <v>26</v>
      </c>
      <c r="F937" t="s">
        <v>52</v>
      </c>
      <c r="G937" t="s">
        <v>25</v>
      </c>
      <c r="H937">
        <v>20</v>
      </c>
      <c r="I937">
        <v>8</v>
      </c>
      <c r="K937">
        <v>4.6</v>
      </c>
      <c r="L937">
        <v>1.4</v>
      </c>
      <c r="O937">
        <v>44</v>
      </c>
      <c r="P937">
        <v>57</v>
      </c>
      <c r="S937">
        <v>0.95</v>
      </c>
      <c r="T937">
        <v>8.2</v>
      </c>
      <c r="U937" t="s">
        <v>810</v>
      </c>
      <c r="V937">
        <v>118</v>
      </c>
      <c r="W937">
        <v>10</v>
      </c>
      <c r="X937" t="s">
        <v>32</v>
      </c>
    </row>
    <row r="938" spans="1:24">
      <c r="A938" t="str">
        <f>Hyperlink("https://www.diodes.com/part/view/DMP2070UQ","DMP2070UQ")</f>
        <v>DMP2070UQ</v>
      </c>
      <c r="B938" t="str">
        <f>Hyperlink("https://www.diodes.com/assets/Datasheets/DMP2070UQ.pdf","DMP2070UQ Datasheet")</f>
        <v>DMP2070UQ Datasheet</v>
      </c>
      <c r="C938" t="s">
        <v>51</v>
      </c>
      <c r="D938" t="s">
        <v>25</v>
      </c>
      <c r="E938" t="s">
        <v>33</v>
      </c>
      <c r="F938" t="s">
        <v>52</v>
      </c>
      <c r="G938" t="s">
        <v>25</v>
      </c>
      <c r="H938">
        <v>20</v>
      </c>
      <c r="I938">
        <v>8</v>
      </c>
      <c r="K938">
        <v>4.6</v>
      </c>
      <c r="L938">
        <v>1.4</v>
      </c>
      <c r="O938">
        <v>44</v>
      </c>
      <c r="P938">
        <v>57</v>
      </c>
      <c r="R938">
        <v>0.45</v>
      </c>
      <c r="S938">
        <v>0.95</v>
      </c>
      <c r="T938">
        <v>8.2</v>
      </c>
      <c r="V938">
        <v>118</v>
      </c>
      <c r="W938">
        <v>10</v>
      </c>
      <c r="X938" t="s">
        <v>32</v>
      </c>
    </row>
    <row r="939" spans="1:24">
      <c r="A939" t="str">
        <f>Hyperlink("https://www.diodes.com/part/view/DMP2075UFDB","DMP2075UFDB")</f>
        <v>DMP2075UFDB</v>
      </c>
      <c r="B939" t="str">
        <f>Hyperlink("https://www.diodes.com/assets/Datasheets/DMP2075UFDB.pdf","DMP2075UFDB Datasheet")</f>
        <v>DMP2075UFDB Datasheet</v>
      </c>
      <c r="C939" t="s">
        <v>801</v>
      </c>
      <c r="D939" t="s">
        <v>25</v>
      </c>
      <c r="E939" t="s">
        <v>26</v>
      </c>
      <c r="F939" t="s">
        <v>78</v>
      </c>
      <c r="G939" t="s">
        <v>28</v>
      </c>
      <c r="H939">
        <v>20</v>
      </c>
      <c r="I939">
        <v>8</v>
      </c>
      <c r="J939">
        <v>3.8</v>
      </c>
      <c r="L939">
        <v>1.4</v>
      </c>
      <c r="O939">
        <v>75</v>
      </c>
      <c r="P939">
        <v>137</v>
      </c>
      <c r="R939">
        <v>0.35</v>
      </c>
      <c r="S939">
        <v>1.4</v>
      </c>
      <c r="T939">
        <v>8.8</v>
      </c>
      <c r="U939" t="s">
        <v>635</v>
      </c>
      <c r="V939">
        <v>642</v>
      </c>
      <c r="W939">
        <v>10</v>
      </c>
      <c r="X939" t="s">
        <v>125</v>
      </c>
    </row>
    <row r="940" spans="1:24">
      <c r="A940" t="str">
        <f>Hyperlink("https://www.diodes.com/part/view/DMP2075UVT","DMP2075UVT")</f>
        <v>DMP2075UVT</v>
      </c>
      <c r="B940" t="str">
        <f>Hyperlink("https://www.diodes.com/assets/Datasheets/DMP2075UVT.pdf","DMP2075UVT Datasheet")</f>
        <v>DMP2075UVT Datasheet</v>
      </c>
      <c r="C940" t="s">
        <v>51</v>
      </c>
      <c r="D940" t="s">
        <v>28</v>
      </c>
      <c r="E940" t="s">
        <v>26</v>
      </c>
      <c r="F940" t="s">
        <v>52</v>
      </c>
      <c r="G940" t="s">
        <v>28</v>
      </c>
      <c r="H940">
        <v>20</v>
      </c>
      <c r="I940">
        <v>8</v>
      </c>
      <c r="J940">
        <v>3.8</v>
      </c>
      <c r="L940">
        <v>1.6</v>
      </c>
      <c r="O940">
        <v>75</v>
      </c>
      <c r="P940">
        <v>137</v>
      </c>
      <c r="R940">
        <v>0.3</v>
      </c>
      <c r="S940">
        <v>1</v>
      </c>
      <c r="T940">
        <v>8.8</v>
      </c>
      <c r="V940">
        <v>642</v>
      </c>
      <c r="W940">
        <v>10</v>
      </c>
      <c r="X940" t="s">
        <v>128</v>
      </c>
    </row>
    <row r="941" spans="1:24">
      <c r="A941" t="str">
        <f>Hyperlink("https://www.diodes.com/part/view/DMP2077UCA3","DMP2077UCA3")</f>
        <v>DMP2077UCA3</v>
      </c>
      <c r="B941" t="str">
        <f>Hyperlink("https://www.diodes.com/assets/Datasheets/DMP2077UCA3.pdf","DMP2077UCA3 Datasheet")</f>
        <v>DMP2077UCA3 Datasheet</v>
      </c>
      <c r="C941" t="s">
        <v>51</v>
      </c>
      <c r="D941" t="s">
        <v>28</v>
      </c>
      <c r="E941" t="s">
        <v>26</v>
      </c>
      <c r="F941" t="s">
        <v>52</v>
      </c>
      <c r="G941" t="s">
        <v>28</v>
      </c>
      <c r="H941">
        <v>20</v>
      </c>
      <c r="I941">
        <v>12</v>
      </c>
      <c r="J941">
        <v>4</v>
      </c>
      <c r="L941">
        <v>1.98</v>
      </c>
      <c r="O941">
        <v>100</v>
      </c>
      <c r="P941">
        <v>165</v>
      </c>
      <c r="Q941">
        <v>600</v>
      </c>
      <c r="R941">
        <v>0.5</v>
      </c>
      <c r="S941">
        <v>1</v>
      </c>
      <c r="T941">
        <v>1.34</v>
      </c>
      <c r="V941">
        <v>143</v>
      </c>
      <c r="X941" t="s">
        <v>680</v>
      </c>
    </row>
    <row r="942" spans="1:24">
      <c r="A942" t="str">
        <f>Hyperlink("https://www.diodes.com/part/view/DMP2078LCA3","DMP2078LCA3")</f>
        <v>DMP2078LCA3</v>
      </c>
      <c r="B942" t="str">
        <f>Hyperlink("https://www.diodes.com/assets/Datasheets/DMP2078LCA3.pdf","DMP2078LCA3 Datasheet")</f>
        <v>DMP2078LCA3 Datasheet</v>
      </c>
      <c r="C942" t="s">
        <v>51</v>
      </c>
      <c r="D942" t="s">
        <v>28</v>
      </c>
      <c r="E942" t="s">
        <v>26</v>
      </c>
      <c r="F942" t="s">
        <v>52</v>
      </c>
      <c r="G942" t="s">
        <v>25</v>
      </c>
      <c r="H942">
        <v>20</v>
      </c>
      <c r="I942">
        <v>12</v>
      </c>
      <c r="J942">
        <v>3.4</v>
      </c>
      <c r="L942">
        <v>1.4</v>
      </c>
      <c r="O942">
        <v>100</v>
      </c>
      <c r="P942">
        <v>165</v>
      </c>
      <c r="Q942">
        <v>600</v>
      </c>
      <c r="R942">
        <v>0.7</v>
      </c>
      <c r="S942">
        <v>1.2</v>
      </c>
      <c r="T942">
        <v>1.1</v>
      </c>
      <c r="V942">
        <v>152</v>
      </c>
      <c r="W942">
        <v>10</v>
      </c>
      <c r="X942" t="s">
        <v>680</v>
      </c>
    </row>
    <row r="943" spans="1:24">
      <c r="A943" t="str">
        <f>Hyperlink("https://www.diodes.com/part/view/DMP2079LCA3","DMP2079LCA3")</f>
        <v>DMP2079LCA3</v>
      </c>
      <c r="B943" t="str">
        <f>Hyperlink("https://www.diodes.com/assets/Datasheets/DMP2079LCA3.pdf","DMP2079LCA3 Datasheet")</f>
        <v>DMP2079LCA3 Datasheet</v>
      </c>
      <c r="C943" t="s">
        <v>51</v>
      </c>
      <c r="D943" t="s">
        <v>28</v>
      </c>
      <c r="E943" t="s">
        <v>26</v>
      </c>
      <c r="F943" t="s">
        <v>52</v>
      </c>
      <c r="G943" t="s">
        <v>25</v>
      </c>
      <c r="H943">
        <v>20</v>
      </c>
      <c r="I943">
        <v>12</v>
      </c>
      <c r="J943">
        <v>3.4</v>
      </c>
      <c r="L943">
        <v>1.4</v>
      </c>
      <c r="O943">
        <v>100</v>
      </c>
      <c r="P943">
        <v>165</v>
      </c>
      <c r="Q943">
        <v>600</v>
      </c>
      <c r="R943">
        <v>0.7</v>
      </c>
      <c r="S943">
        <v>1.2</v>
      </c>
      <c r="T943">
        <v>1.1</v>
      </c>
      <c r="V943">
        <v>152</v>
      </c>
      <c r="X943" t="s">
        <v>680</v>
      </c>
    </row>
    <row r="944" spans="1:24">
      <c r="A944" t="str">
        <f>Hyperlink("https://www.diodes.com/part/view/DMP2090UFDB","DMP2090UFDB")</f>
        <v>DMP2090UFDB</v>
      </c>
      <c r="B944" t="str">
        <f>Hyperlink("https://www.diodes.com/assets/Datasheets/DMP2090UFDB.pdf","DMP2090UFDB Datasheet")</f>
        <v>DMP2090UFDB Datasheet</v>
      </c>
      <c r="C944" t="s">
        <v>80</v>
      </c>
      <c r="D944" t="s">
        <v>28</v>
      </c>
      <c r="E944" t="s">
        <v>26</v>
      </c>
      <c r="F944" t="s">
        <v>78</v>
      </c>
      <c r="G944" t="s">
        <v>25</v>
      </c>
      <c r="H944">
        <v>20</v>
      </c>
      <c r="I944">
        <v>8</v>
      </c>
      <c r="J944">
        <v>3.2</v>
      </c>
      <c r="L944">
        <v>1.39</v>
      </c>
      <c r="O944">
        <v>90</v>
      </c>
      <c r="P944">
        <v>120</v>
      </c>
      <c r="R944">
        <v>0.3</v>
      </c>
      <c r="S944">
        <v>1</v>
      </c>
      <c r="T944">
        <v>6.8</v>
      </c>
      <c r="V944">
        <v>634</v>
      </c>
      <c r="W944">
        <v>10</v>
      </c>
      <c r="X944" t="s">
        <v>125</v>
      </c>
    </row>
    <row r="945" spans="1:24">
      <c r="A945" t="str">
        <f>Hyperlink("https://www.diodes.com/part/view/DMP2100UFU","DMP2100UFU")</f>
        <v>DMP2100UFU</v>
      </c>
      <c r="B945" t="str">
        <f>Hyperlink("https://www.diodes.com/assets/Datasheets/DMP2100UFU.pdf","DMP2100UFU Datasheet")</f>
        <v>DMP2100UFU Datasheet</v>
      </c>
      <c r="C945" t="s">
        <v>77</v>
      </c>
      <c r="D945" t="s">
        <v>28</v>
      </c>
      <c r="E945" t="s">
        <v>26</v>
      </c>
      <c r="F945" t="s">
        <v>78</v>
      </c>
      <c r="G945" t="s">
        <v>25</v>
      </c>
      <c r="H945">
        <v>20</v>
      </c>
      <c r="I945">
        <v>10</v>
      </c>
      <c r="J945">
        <v>5.7</v>
      </c>
      <c r="L945">
        <v>1.9</v>
      </c>
      <c r="N945">
        <v>38</v>
      </c>
      <c r="O945">
        <v>43</v>
      </c>
      <c r="P945">
        <v>75</v>
      </c>
      <c r="R945">
        <v>0.3</v>
      </c>
      <c r="S945">
        <v>1.4</v>
      </c>
      <c r="T945">
        <v>10.3</v>
      </c>
      <c r="U945">
        <v>21.4</v>
      </c>
      <c r="V945">
        <v>906</v>
      </c>
      <c r="W945">
        <v>10</v>
      </c>
      <c r="X945" t="s">
        <v>618</v>
      </c>
    </row>
    <row r="946" spans="1:24">
      <c r="A946" t="str">
        <f>Hyperlink("https://www.diodes.com/part/view/DMP2101UCP9","DMP2101UCP9")</f>
        <v>DMP2101UCP9</v>
      </c>
      <c r="B946" t="str">
        <f>Hyperlink("https://www.diodes.com/assets/Datasheets/DMP2101UCP9.pdf","DMP2101UCP9 Datasheet")</f>
        <v>DMP2101UCP9 Datasheet</v>
      </c>
      <c r="C946" t="s">
        <v>80</v>
      </c>
      <c r="D946" t="s">
        <v>28</v>
      </c>
      <c r="E946" t="s">
        <v>26</v>
      </c>
      <c r="F946" t="s">
        <v>52</v>
      </c>
      <c r="G946" t="s">
        <v>25</v>
      </c>
      <c r="H946">
        <v>20</v>
      </c>
      <c r="I946">
        <v>6</v>
      </c>
      <c r="J946">
        <v>3.1</v>
      </c>
      <c r="L946">
        <v>1.47</v>
      </c>
      <c r="O946">
        <v>100</v>
      </c>
      <c r="P946">
        <v>130</v>
      </c>
      <c r="Q946">
        <v>175</v>
      </c>
      <c r="R946">
        <v>0.4</v>
      </c>
      <c r="S946">
        <v>0.9</v>
      </c>
      <c r="T946">
        <v>3.2</v>
      </c>
      <c r="V946">
        <v>392</v>
      </c>
      <c r="W946">
        <v>10</v>
      </c>
      <c r="X946" t="s">
        <v>811</v>
      </c>
    </row>
    <row r="947" spans="1:24">
      <c r="A947" t="str">
        <f>Hyperlink("https://www.diodes.com/part/view/DMP2104LP","DMP2104LP")</f>
        <v>DMP2104LP</v>
      </c>
      <c r="B947" t="str">
        <f>Hyperlink("https://www.diodes.com/assets/Datasheets/ds31091.pdf","DMP2104LP Datasheet")</f>
        <v>DMP2104LP Datasheet</v>
      </c>
      <c r="C947" t="s">
        <v>51</v>
      </c>
      <c r="D947" t="s">
        <v>25</v>
      </c>
      <c r="E947" t="s">
        <v>26</v>
      </c>
      <c r="F947" t="s">
        <v>52</v>
      </c>
      <c r="G947" t="s">
        <v>28</v>
      </c>
      <c r="H947">
        <v>20</v>
      </c>
      <c r="I947">
        <v>12</v>
      </c>
      <c r="J947">
        <v>1.5</v>
      </c>
      <c r="L947">
        <v>0.5</v>
      </c>
      <c r="O947">
        <v>150</v>
      </c>
      <c r="P947">
        <v>200</v>
      </c>
      <c r="Q947">
        <v>240</v>
      </c>
      <c r="R947">
        <v>0.45</v>
      </c>
      <c r="S947">
        <v>1</v>
      </c>
      <c r="V947">
        <v>320</v>
      </c>
      <c r="W947">
        <v>16</v>
      </c>
      <c r="X947" t="s">
        <v>812</v>
      </c>
    </row>
    <row r="948" spans="1:24">
      <c r="A948" t="str">
        <f>Hyperlink("https://www.diodes.com/part/view/DMP2104V","DMP2104V")</f>
        <v>DMP2104V</v>
      </c>
      <c r="B948" t="str">
        <f>Hyperlink("https://www.diodes.com/assets/Datasheets/ds30942.pdf","DMP2104V Datasheet")</f>
        <v>DMP2104V Datasheet</v>
      </c>
      <c r="C948" t="s">
        <v>51</v>
      </c>
      <c r="D948" t="s">
        <v>25</v>
      </c>
      <c r="E948" t="s">
        <v>26</v>
      </c>
      <c r="F948" t="s">
        <v>52</v>
      </c>
      <c r="G948" t="s">
        <v>28</v>
      </c>
      <c r="H948">
        <v>20</v>
      </c>
      <c r="I948">
        <v>12</v>
      </c>
      <c r="J948">
        <v>1.9</v>
      </c>
      <c r="L948">
        <v>0.85</v>
      </c>
      <c r="O948">
        <v>150</v>
      </c>
      <c r="P948">
        <v>200</v>
      </c>
      <c r="Q948">
        <v>240</v>
      </c>
      <c r="R948">
        <v>0.45</v>
      </c>
      <c r="S948">
        <v>1</v>
      </c>
      <c r="V948">
        <v>320</v>
      </c>
      <c r="W948">
        <v>16</v>
      </c>
      <c r="X948" t="s">
        <v>43</v>
      </c>
    </row>
    <row r="949" spans="1:24">
      <c r="A949" t="str">
        <f>Hyperlink("https://www.diodes.com/part/view/DMP2109UVT","DMP2109UVT")</f>
        <v>DMP2109UVT</v>
      </c>
      <c r="B949" t="str">
        <f>Hyperlink("https://www.diodes.com/assets/Datasheets/DMP2109UVT.pdf","DMP2109UVT Datasheet")</f>
        <v>DMP2109UVT Datasheet</v>
      </c>
      <c r="C949" t="s">
        <v>51</v>
      </c>
      <c r="D949" t="s">
        <v>28</v>
      </c>
      <c r="E949" t="s">
        <v>26</v>
      </c>
      <c r="F949" t="s">
        <v>52</v>
      </c>
      <c r="G949" t="s">
        <v>28</v>
      </c>
      <c r="H949">
        <v>20</v>
      </c>
      <c r="I949">
        <v>10</v>
      </c>
      <c r="J949">
        <v>3.7</v>
      </c>
      <c r="L949">
        <v>1.2</v>
      </c>
      <c r="O949">
        <v>80</v>
      </c>
      <c r="P949">
        <v>110</v>
      </c>
      <c r="R949">
        <v>0.45</v>
      </c>
      <c r="S949">
        <v>1</v>
      </c>
      <c r="T949">
        <v>6</v>
      </c>
      <c r="V949">
        <v>443</v>
      </c>
      <c r="W949">
        <v>10</v>
      </c>
      <c r="X949" t="s">
        <v>128</v>
      </c>
    </row>
    <row r="950" spans="1:24">
      <c r="A950" t="str">
        <f>Hyperlink("https://www.diodes.com/part/view/DMP2109UVTQ","DMP2109UVTQ")</f>
        <v>DMP2109UVTQ</v>
      </c>
      <c r="B950" t="str">
        <f>Hyperlink("https://www.diodes.com/assets/Datasheets/DMP2109UVTQ.pdf","DMP2109UVTQ Datasheet")</f>
        <v>DMP2109UVTQ Datasheet</v>
      </c>
      <c r="C950" t="s">
        <v>777</v>
      </c>
      <c r="D950" t="s">
        <v>25</v>
      </c>
      <c r="E950" t="s">
        <v>33</v>
      </c>
      <c r="F950" t="s">
        <v>52</v>
      </c>
      <c r="G950" t="s">
        <v>28</v>
      </c>
      <c r="H950">
        <v>20</v>
      </c>
      <c r="I950">
        <v>10</v>
      </c>
      <c r="J950">
        <v>3.7</v>
      </c>
      <c r="L950">
        <v>1.2</v>
      </c>
      <c r="O950">
        <v>80</v>
      </c>
      <c r="P950">
        <v>110</v>
      </c>
      <c r="R950">
        <v>0.45</v>
      </c>
      <c r="S950">
        <v>1</v>
      </c>
      <c r="T950">
        <v>6</v>
      </c>
      <c r="V950">
        <v>443</v>
      </c>
      <c r="W950">
        <v>10</v>
      </c>
      <c r="X950" t="s">
        <v>128</v>
      </c>
    </row>
    <row r="951" spans="1:24">
      <c r="A951" t="str">
        <f>Hyperlink("https://www.diodes.com/part/view/DMP2110U","DMP2110U")</f>
        <v>DMP2110U</v>
      </c>
      <c r="B951" t="str">
        <f>Hyperlink("https://www.diodes.com/assets/Datasheets/DMP2110U.pdf","DMP2110U Datasheet")</f>
        <v>DMP2110U Datasheet</v>
      </c>
      <c r="C951" t="s">
        <v>51</v>
      </c>
      <c r="D951" t="s">
        <v>28</v>
      </c>
      <c r="E951" t="s">
        <v>26</v>
      </c>
      <c r="F951" t="s">
        <v>52</v>
      </c>
      <c r="G951" t="s">
        <v>28</v>
      </c>
      <c r="H951">
        <v>20</v>
      </c>
      <c r="I951">
        <v>10</v>
      </c>
      <c r="J951">
        <v>3.5</v>
      </c>
      <c r="L951">
        <v>1.2</v>
      </c>
      <c r="O951">
        <v>80</v>
      </c>
      <c r="P951">
        <v>110</v>
      </c>
      <c r="R951">
        <v>0.45</v>
      </c>
      <c r="S951">
        <v>1</v>
      </c>
      <c r="T951">
        <v>6</v>
      </c>
      <c r="V951">
        <v>443</v>
      </c>
      <c r="W951">
        <v>10</v>
      </c>
      <c r="X951" t="s">
        <v>32</v>
      </c>
    </row>
    <row r="952" spans="1:24">
      <c r="A952" t="str">
        <f>Hyperlink("https://www.diodes.com/part/view/DMP2110UFDB","DMP2110UFDB")</f>
        <v>DMP2110UFDB</v>
      </c>
      <c r="B952" t="str">
        <f>Hyperlink("https://www.diodes.com/assets/Datasheets/DMP2110UFDB.pdf","DMP2110UFDB Datasheet")</f>
        <v>DMP2110UFDB Datasheet</v>
      </c>
      <c r="C952" t="s">
        <v>77</v>
      </c>
      <c r="D952" t="s">
        <v>28</v>
      </c>
      <c r="E952" t="s">
        <v>26</v>
      </c>
      <c r="F952" t="s">
        <v>78</v>
      </c>
      <c r="G952" t="s">
        <v>28</v>
      </c>
      <c r="H952">
        <v>20</v>
      </c>
      <c r="I952">
        <v>12</v>
      </c>
      <c r="J952">
        <v>3.1</v>
      </c>
      <c r="L952">
        <v>1.1</v>
      </c>
      <c r="O952">
        <v>75</v>
      </c>
      <c r="P952">
        <v>110</v>
      </c>
      <c r="Q952">
        <v>168</v>
      </c>
      <c r="S952">
        <v>1</v>
      </c>
      <c r="T952">
        <v>6</v>
      </c>
      <c r="X952" t="s">
        <v>125</v>
      </c>
    </row>
    <row r="953" spans="1:24">
      <c r="A953" t="str">
        <f>Hyperlink("https://www.diodes.com/part/view/DMP2110UFDBQ","DMP2110UFDBQ")</f>
        <v>DMP2110UFDBQ</v>
      </c>
      <c r="B953" t="str">
        <f>Hyperlink("https://www.diodes.com/assets/Datasheets/DMP2110UFDBQ.pdf","DMP2110UFDBQ Datasheet")</f>
        <v>DMP2110UFDBQ Datasheet</v>
      </c>
      <c r="C953" t="s">
        <v>77</v>
      </c>
      <c r="D953" t="s">
        <v>25</v>
      </c>
      <c r="E953" t="s">
        <v>33</v>
      </c>
      <c r="F953" t="s">
        <v>78</v>
      </c>
      <c r="G953" t="s">
        <v>28</v>
      </c>
      <c r="H953">
        <v>20</v>
      </c>
      <c r="I953">
        <v>12</v>
      </c>
      <c r="J953">
        <v>3.1</v>
      </c>
      <c r="L953">
        <v>1.1</v>
      </c>
      <c r="O953">
        <v>75</v>
      </c>
      <c r="P953">
        <v>110</v>
      </c>
      <c r="Q953">
        <v>168</v>
      </c>
      <c r="S953">
        <v>1</v>
      </c>
      <c r="T953">
        <v>6</v>
      </c>
      <c r="X953" t="s">
        <v>125</v>
      </c>
    </row>
    <row r="954" spans="1:24">
      <c r="A954" t="str">
        <f>Hyperlink("https://www.diodes.com/part/view/DMP2110UQ","DMP2110UQ")</f>
        <v>DMP2110UQ</v>
      </c>
      <c r="B954" t="str">
        <f>Hyperlink("https://www.diodes.com/assets/Datasheets/DMP2110UQ.pdf","DMP2110UQ Datasheet")</f>
        <v>DMP2110UQ Datasheet</v>
      </c>
      <c r="C954" t="s">
        <v>51</v>
      </c>
      <c r="D954" t="s">
        <v>25</v>
      </c>
      <c r="E954" t="s">
        <v>33</v>
      </c>
      <c r="F954" t="s">
        <v>52</v>
      </c>
      <c r="G954" t="s">
        <v>28</v>
      </c>
      <c r="H954">
        <v>20</v>
      </c>
      <c r="I954">
        <v>10</v>
      </c>
      <c r="J954">
        <v>3.5</v>
      </c>
      <c r="L954">
        <v>1.2</v>
      </c>
      <c r="O954">
        <v>80</v>
      </c>
      <c r="P954">
        <v>110</v>
      </c>
      <c r="R954">
        <v>0.45</v>
      </c>
      <c r="S954">
        <v>1</v>
      </c>
      <c r="T954">
        <v>6</v>
      </c>
      <c r="V954">
        <v>443</v>
      </c>
      <c r="W954">
        <v>10</v>
      </c>
      <c r="X954" t="s">
        <v>32</v>
      </c>
    </row>
    <row r="955" spans="1:24">
      <c r="A955" t="str">
        <f>Hyperlink("https://www.diodes.com/part/view/DMP2110UVT","DMP2110UVT")</f>
        <v>DMP2110UVT</v>
      </c>
      <c r="B955" t="str">
        <f>Hyperlink("https://www.diodes.com/assets/Datasheets/DMP2110UVT.pdf","DMP2110UVT Datasheet")</f>
        <v>DMP2110UVT Datasheet</v>
      </c>
      <c r="C955" t="s">
        <v>51</v>
      </c>
      <c r="D955" t="s">
        <v>25</v>
      </c>
      <c r="E955" t="s">
        <v>26</v>
      </c>
      <c r="F955" t="s">
        <v>78</v>
      </c>
      <c r="G955" t="s">
        <v>28</v>
      </c>
      <c r="H955">
        <v>20</v>
      </c>
      <c r="I955">
        <v>10</v>
      </c>
      <c r="J955">
        <v>1.8</v>
      </c>
      <c r="L955">
        <v>1.1</v>
      </c>
      <c r="O955">
        <v>150</v>
      </c>
      <c r="P955">
        <v>200</v>
      </c>
      <c r="Q955">
        <v>240</v>
      </c>
      <c r="R955">
        <v>0.45</v>
      </c>
      <c r="S955">
        <v>1</v>
      </c>
      <c r="T955">
        <v>6</v>
      </c>
      <c r="V955">
        <v>440</v>
      </c>
      <c r="W955">
        <v>10</v>
      </c>
      <c r="X955" t="s">
        <v>128</v>
      </c>
    </row>
    <row r="956" spans="1:24">
      <c r="A956" t="str">
        <f>Hyperlink("https://www.diodes.com/part/view/DMP2110UVTQ","DMP2110UVTQ")</f>
        <v>DMP2110UVTQ</v>
      </c>
      <c r="B956" t="str">
        <f>Hyperlink("https://www.diodes.com/assets/Datasheets/DMP2110UVTQ.pdf","DMP2110UVTQ Datasheet")</f>
        <v>DMP2110UVTQ Datasheet</v>
      </c>
      <c r="C956" t="s">
        <v>77</v>
      </c>
      <c r="D956" t="s">
        <v>25</v>
      </c>
      <c r="E956" t="s">
        <v>33</v>
      </c>
      <c r="F956" t="s">
        <v>78</v>
      </c>
      <c r="G956" t="s">
        <v>28</v>
      </c>
      <c r="H956">
        <v>20</v>
      </c>
      <c r="I956">
        <v>10</v>
      </c>
      <c r="J956">
        <v>1.8</v>
      </c>
      <c r="L956">
        <v>1.1</v>
      </c>
      <c r="O956">
        <v>150</v>
      </c>
      <c r="P956">
        <v>200</v>
      </c>
      <c r="Q956">
        <v>240</v>
      </c>
      <c r="R956">
        <v>0.45</v>
      </c>
      <c r="S956">
        <v>1</v>
      </c>
      <c r="T956">
        <v>6</v>
      </c>
      <c r="V956">
        <v>440</v>
      </c>
      <c r="W956">
        <v>10</v>
      </c>
      <c r="X956" t="s">
        <v>128</v>
      </c>
    </row>
    <row r="957" spans="1:24">
      <c r="A957" t="str">
        <f>Hyperlink("https://www.diodes.com/part/view/DMP2110UW","DMP2110UW")</f>
        <v>DMP2110UW</v>
      </c>
      <c r="B957" t="str">
        <f>Hyperlink("https://www.diodes.com/assets/Datasheets/DMP2110UW.pdf","DMP2110UW Datasheet")</f>
        <v>DMP2110UW Datasheet</v>
      </c>
      <c r="C957" t="s">
        <v>51</v>
      </c>
      <c r="D957" t="s">
        <v>28</v>
      </c>
      <c r="E957" t="s">
        <v>26</v>
      </c>
      <c r="F957" t="s">
        <v>52</v>
      </c>
      <c r="G957" t="s">
        <v>28</v>
      </c>
      <c r="H957">
        <v>20</v>
      </c>
      <c r="I957">
        <v>12</v>
      </c>
      <c r="J957">
        <v>2</v>
      </c>
      <c r="L957">
        <v>1.1</v>
      </c>
      <c r="O957">
        <v>100</v>
      </c>
      <c r="P957">
        <v>120</v>
      </c>
      <c r="Q957">
        <v>160</v>
      </c>
      <c r="R957">
        <v>0.4</v>
      </c>
      <c r="S957">
        <v>0.9</v>
      </c>
      <c r="T957">
        <v>6</v>
      </c>
      <c r="V957">
        <v>443</v>
      </c>
      <c r="W957">
        <v>6</v>
      </c>
      <c r="X957" t="s">
        <v>60</v>
      </c>
    </row>
    <row r="958" spans="1:24">
      <c r="A958" t="str">
        <f>Hyperlink("https://www.diodes.com/part/view/DMP2120U","DMP2120U")</f>
        <v>DMP2120U</v>
      </c>
      <c r="B958" t="str">
        <f>Hyperlink("https://www.diodes.com/assets/Datasheets/DMP2120U.pdf","DMP2120U Datasheet")</f>
        <v>DMP2120U Datasheet</v>
      </c>
      <c r="C958" t="s">
        <v>497</v>
      </c>
      <c r="D958" t="s">
        <v>28</v>
      </c>
      <c r="E958" t="s">
        <v>26</v>
      </c>
      <c r="F958" t="s">
        <v>52</v>
      </c>
      <c r="G958" t="s">
        <v>28</v>
      </c>
      <c r="H958">
        <v>20</v>
      </c>
      <c r="I958">
        <v>8</v>
      </c>
      <c r="J958">
        <v>3.8</v>
      </c>
      <c r="L958">
        <v>1.3</v>
      </c>
      <c r="O958">
        <v>62</v>
      </c>
      <c r="P958">
        <v>90</v>
      </c>
      <c r="Q958">
        <v>150</v>
      </c>
      <c r="R958">
        <v>0.4</v>
      </c>
      <c r="S958">
        <v>1</v>
      </c>
      <c r="T958">
        <v>6.3</v>
      </c>
      <c r="V958">
        <v>487</v>
      </c>
      <c r="W958">
        <v>20</v>
      </c>
      <c r="X958" t="s">
        <v>32</v>
      </c>
    </row>
    <row r="959" spans="1:24">
      <c r="A959" t="str">
        <f>Hyperlink("https://www.diodes.com/part/view/DMP2123L","DMP2123L")</f>
        <v>DMP2123L</v>
      </c>
      <c r="B959" t="str">
        <f>Hyperlink("https://www.diodes.com/assets/Datasheets/ds31440.pdf","DMP2123L Datasheet")</f>
        <v>DMP2123L Datasheet</v>
      </c>
      <c r="C959" t="s">
        <v>51</v>
      </c>
      <c r="D959" t="s">
        <v>25</v>
      </c>
      <c r="E959" t="s">
        <v>26</v>
      </c>
      <c r="F959" t="s">
        <v>52</v>
      </c>
      <c r="G959" t="s">
        <v>28</v>
      </c>
      <c r="H959">
        <v>20</v>
      </c>
      <c r="I959">
        <v>12</v>
      </c>
      <c r="J959">
        <v>3</v>
      </c>
      <c r="L959">
        <v>1.4</v>
      </c>
      <c r="O959">
        <v>72</v>
      </c>
      <c r="P959">
        <v>123</v>
      </c>
      <c r="R959">
        <v>0.6</v>
      </c>
      <c r="S959">
        <v>1.25</v>
      </c>
      <c r="T959">
        <v>7.3</v>
      </c>
      <c r="V959">
        <v>443</v>
      </c>
      <c r="W959">
        <v>16</v>
      </c>
      <c r="X959" t="s">
        <v>32</v>
      </c>
    </row>
    <row r="960" spans="1:24">
      <c r="A960" t="str">
        <f>Hyperlink("https://www.diodes.com/part/view/DMP2123LQ","DMP2123LQ")</f>
        <v>DMP2123LQ</v>
      </c>
      <c r="B960" t="str">
        <f>Hyperlink("https://www.diodes.com/assets/Datasheets/DMP2123LQ.pdf","DMP2123LQ Datasheet")</f>
        <v>DMP2123LQ Datasheet</v>
      </c>
      <c r="C960" t="s">
        <v>497</v>
      </c>
      <c r="D960" t="s">
        <v>25</v>
      </c>
      <c r="E960" t="s">
        <v>33</v>
      </c>
      <c r="F960" t="s">
        <v>52</v>
      </c>
      <c r="G960" t="s">
        <v>28</v>
      </c>
      <c r="H960">
        <v>20</v>
      </c>
      <c r="I960">
        <v>12</v>
      </c>
      <c r="J960">
        <v>3</v>
      </c>
      <c r="L960">
        <v>1.4</v>
      </c>
      <c r="O960">
        <v>72</v>
      </c>
      <c r="P960">
        <v>123</v>
      </c>
      <c r="R960">
        <v>0.6</v>
      </c>
      <c r="S960">
        <v>1.25</v>
      </c>
      <c r="T960">
        <v>7.3</v>
      </c>
      <c r="V960">
        <v>443</v>
      </c>
      <c r="W960">
        <v>16</v>
      </c>
      <c r="X960" t="s">
        <v>32</v>
      </c>
    </row>
    <row r="961" spans="1:24">
      <c r="A961" t="str">
        <f>Hyperlink("https://www.diodes.com/part/view/DMP2130L","DMP2130L")</f>
        <v>DMP2130L</v>
      </c>
      <c r="B961" t="str">
        <f>Hyperlink("https://www.diodes.com/assets/Datasheets/ds31346.pdf","DMP2130L Datasheet")</f>
        <v>DMP2130L Datasheet</v>
      </c>
      <c r="C961" t="s">
        <v>51</v>
      </c>
      <c r="D961" t="s">
        <v>25</v>
      </c>
      <c r="E961" t="s">
        <v>26</v>
      </c>
      <c r="F961" t="s">
        <v>52</v>
      </c>
      <c r="G961" t="s">
        <v>28</v>
      </c>
      <c r="H961">
        <v>20</v>
      </c>
      <c r="I961">
        <v>12</v>
      </c>
      <c r="J961">
        <v>3</v>
      </c>
      <c r="L961">
        <v>1.4</v>
      </c>
      <c r="O961">
        <v>75</v>
      </c>
      <c r="P961">
        <v>125</v>
      </c>
      <c r="R961">
        <v>0.6</v>
      </c>
      <c r="S961">
        <v>1.25</v>
      </c>
      <c r="T961">
        <v>7.3</v>
      </c>
      <c r="V961">
        <v>443</v>
      </c>
      <c r="W961">
        <v>16</v>
      </c>
      <c r="X961" t="s">
        <v>32</v>
      </c>
    </row>
    <row r="962" spans="1:24">
      <c r="A962" t="str">
        <f>Hyperlink("https://www.diodes.com/part/view/DMP2130LDM","DMP2130LDM")</f>
        <v>DMP2130LDM</v>
      </c>
      <c r="B962" t="str">
        <f>Hyperlink("https://www.diodes.com/assets/Datasheets/ds31118.pdf","DMP2130LDM Datasheet")</f>
        <v>DMP2130LDM Datasheet</v>
      </c>
      <c r="C962" t="s">
        <v>51</v>
      </c>
      <c r="D962" t="s">
        <v>25</v>
      </c>
      <c r="E962" t="s">
        <v>26</v>
      </c>
      <c r="F962" t="s">
        <v>52</v>
      </c>
      <c r="G962" t="s">
        <v>28</v>
      </c>
      <c r="H962">
        <v>20</v>
      </c>
      <c r="I962">
        <v>12</v>
      </c>
      <c r="J962">
        <v>3.4</v>
      </c>
      <c r="L962">
        <v>1.25</v>
      </c>
      <c r="O962">
        <v>80</v>
      </c>
      <c r="P962">
        <v>130</v>
      </c>
      <c r="R962">
        <v>0.6</v>
      </c>
      <c r="S962">
        <v>1.25</v>
      </c>
      <c r="T962">
        <v>7.3</v>
      </c>
      <c r="V962">
        <v>443</v>
      </c>
      <c r="W962">
        <v>16</v>
      </c>
      <c r="X962" t="s">
        <v>261</v>
      </c>
    </row>
    <row r="963" spans="1:24">
      <c r="A963" t="str">
        <f>Hyperlink("https://www.diodes.com/part/view/DMP213DUFA","DMP213DUFA")</f>
        <v>DMP213DUFA</v>
      </c>
      <c r="B963" t="str">
        <f>Hyperlink("https://www.diodes.com/assets/Datasheets/DMP213DUFA.pdf","DMP213DUFA Datasheet")</f>
        <v>DMP213DUFA Datasheet</v>
      </c>
      <c r="C963" t="s">
        <v>51</v>
      </c>
      <c r="D963" t="s">
        <v>28</v>
      </c>
      <c r="E963" t="s">
        <v>26</v>
      </c>
      <c r="F963" t="s">
        <v>52</v>
      </c>
      <c r="G963" t="s">
        <v>25</v>
      </c>
      <c r="H963">
        <v>25</v>
      </c>
      <c r="I963">
        <v>8</v>
      </c>
      <c r="J963">
        <v>0.166</v>
      </c>
      <c r="L963">
        <v>0.36</v>
      </c>
      <c r="O963">
        <v>10000</v>
      </c>
      <c r="P963">
        <v>13000</v>
      </c>
      <c r="R963">
        <v>0.65</v>
      </c>
      <c r="S963">
        <v>1.5</v>
      </c>
      <c r="T963">
        <v>0.35</v>
      </c>
      <c r="V963">
        <v>27.2</v>
      </c>
      <c r="W963">
        <v>10</v>
      </c>
      <c r="X963" t="s">
        <v>595</v>
      </c>
    </row>
    <row r="964" spans="1:24">
      <c r="A964" t="str">
        <f>Hyperlink("https://www.diodes.com/part/view/DMP2160UWQ","DMP2160UWQ")</f>
        <v>DMP2160UWQ</v>
      </c>
      <c r="B964" t="str">
        <f>Hyperlink("https://www.diodes.com/assets/Datasheets/DMP2160UWQ.pdf","DMP2160UWQ Datasheet")</f>
        <v>DMP2160UWQ Datasheet</v>
      </c>
      <c r="C964" t="s">
        <v>51</v>
      </c>
      <c r="D964" t="s">
        <v>25</v>
      </c>
      <c r="E964" t="s">
        <v>33</v>
      </c>
      <c r="F964" t="s">
        <v>52</v>
      </c>
      <c r="G964" t="s">
        <v>28</v>
      </c>
      <c r="H964">
        <v>20</v>
      </c>
      <c r="I964">
        <v>10</v>
      </c>
      <c r="J964">
        <v>1.5</v>
      </c>
      <c r="L964">
        <v>0.35</v>
      </c>
      <c r="O964">
        <v>100</v>
      </c>
      <c r="P964">
        <v>120</v>
      </c>
      <c r="S964">
        <v>0.9</v>
      </c>
      <c r="V964">
        <v>627</v>
      </c>
      <c r="W964">
        <v>10</v>
      </c>
      <c r="X964" t="s">
        <v>60</v>
      </c>
    </row>
    <row r="965" spans="1:24">
      <c r="A965" t="str">
        <f>Hyperlink("https://www.diodes.com/part/view/DMP2165UW","DMP2165UW")</f>
        <v>DMP2165UW</v>
      </c>
      <c r="B965" t="str">
        <f>Hyperlink("https://www.diodes.com/assets/Datasheets/DMP2165UW.pdf","DMP2165UW Datasheet")</f>
        <v>DMP2165UW Datasheet</v>
      </c>
      <c r="C965" t="s">
        <v>51</v>
      </c>
      <c r="D965" t="s">
        <v>28</v>
      </c>
      <c r="E965" t="s">
        <v>26</v>
      </c>
      <c r="F965" t="s">
        <v>52</v>
      </c>
      <c r="G965" t="s">
        <v>25</v>
      </c>
      <c r="H965">
        <v>20</v>
      </c>
      <c r="I965">
        <v>12</v>
      </c>
      <c r="J965">
        <v>2.5</v>
      </c>
      <c r="L965">
        <v>0.7</v>
      </c>
      <c r="O965">
        <v>90</v>
      </c>
      <c r="P965">
        <v>120</v>
      </c>
      <c r="Q965">
        <v>180</v>
      </c>
      <c r="R965">
        <v>0.4</v>
      </c>
      <c r="S965">
        <v>1</v>
      </c>
      <c r="T965">
        <v>3.5</v>
      </c>
      <c r="V965">
        <v>184</v>
      </c>
      <c r="W965">
        <v>10</v>
      </c>
      <c r="X965" t="s">
        <v>60</v>
      </c>
    </row>
    <row r="966" spans="1:24">
      <c r="A966" t="str">
        <f>Hyperlink("https://www.diodes.com/part/view/DMP2170U","DMP2170U")</f>
        <v>DMP2170U</v>
      </c>
      <c r="B966" t="str">
        <f>Hyperlink("https://www.diodes.com/assets/Datasheets/DMP2170U.pdf","DMP2170U Datasheet")</f>
        <v>DMP2170U Datasheet</v>
      </c>
      <c r="C966" t="s">
        <v>497</v>
      </c>
      <c r="D966" t="s">
        <v>25</v>
      </c>
      <c r="E966" t="s">
        <v>26</v>
      </c>
      <c r="F966" t="s">
        <v>52</v>
      </c>
      <c r="G966" t="s">
        <v>28</v>
      </c>
      <c r="H966">
        <v>20</v>
      </c>
      <c r="I966">
        <v>12</v>
      </c>
      <c r="J966">
        <v>3.1</v>
      </c>
      <c r="L966">
        <v>1.28</v>
      </c>
      <c r="O966">
        <v>90</v>
      </c>
      <c r="P966">
        <v>250</v>
      </c>
      <c r="R966">
        <v>0.4</v>
      </c>
      <c r="S966">
        <v>1.25</v>
      </c>
      <c r="T966">
        <v>3.6</v>
      </c>
      <c r="U966">
        <v>7.8</v>
      </c>
      <c r="V966">
        <v>303</v>
      </c>
      <c r="W966">
        <v>10</v>
      </c>
      <c r="X966" t="s">
        <v>32</v>
      </c>
    </row>
    <row r="967" spans="1:24">
      <c r="A967" t="str">
        <f>Hyperlink("https://www.diodes.com/part/view/DMP21D0UFB","DMP21D0UFB")</f>
        <v>DMP21D0UFB</v>
      </c>
      <c r="B967" t="str">
        <f>Hyperlink("https://www.diodes.com/assets/Datasheets/DMP21D0UFB.pdf","DMP21D0UFB Datasheet")</f>
        <v>DMP21D0UFB Datasheet</v>
      </c>
      <c r="C967" t="s">
        <v>51</v>
      </c>
      <c r="D967" t="s">
        <v>25</v>
      </c>
      <c r="E967" t="s">
        <v>26</v>
      </c>
      <c r="F967" t="s">
        <v>52</v>
      </c>
      <c r="G967" t="s">
        <v>25</v>
      </c>
      <c r="H967">
        <v>20</v>
      </c>
      <c r="I967">
        <v>8</v>
      </c>
      <c r="J967">
        <v>1.17</v>
      </c>
      <c r="L967">
        <v>0.99</v>
      </c>
      <c r="O967">
        <v>495</v>
      </c>
      <c r="P967">
        <v>690</v>
      </c>
      <c r="Q967">
        <v>960</v>
      </c>
      <c r="R967">
        <v>0.5</v>
      </c>
      <c r="S967">
        <v>1</v>
      </c>
      <c r="T967">
        <v>1</v>
      </c>
      <c r="V967">
        <v>76.5</v>
      </c>
      <c r="W967">
        <v>10</v>
      </c>
      <c r="X967" t="s">
        <v>592</v>
      </c>
    </row>
    <row r="968" spans="1:24">
      <c r="A968" t="str">
        <f>Hyperlink("https://www.diodes.com/part/view/DMP21D0UFB4","DMP21D0UFB4")</f>
        <v>DMP21D0UFB4</v>
      </c>
      <c r="B968" t="str">
        <f>Hyperlink("https://www.diodes.com/assets/Datasheets/DMP21D0UFB4.pdf","DMP21D0UFB4 Datasheet")</f>
        <v>DMP21D0UFB4 Datasheet</v>
      </c>
      <c r="C968" t="s">
        <v>51</v>
      </c>
      <c r="D968" t="s">
        <v>25</v>
      </c>
      <c r="E968" t="s">
        <v>26</v>
      </c>
      <c r="F968" t="s">
        <v>52</v>
      </c>
      <c r="G968" t="s">
        <v>25</v>
      </c>
      <c r="H968">
        <v>20</v>
      </c>
      <c r="I968">
        <v>8</v>
      </c>
      <c r="J968">
        <v>1.17</v>
      </c>
      <c r="L968">
        <v>0.99</v>
      </c>
      <c r="O968">
        <v>495</v>
      </c>
      <c r="P968">
        <v>690</v>
      </c>
      <c r="Q968">
        <v>960</v>
      </c>
      <c r="R968">
        <v>0.5</v>
      </c>
      <c r="S968">
        <v>1</v>
      </c>
      <c r="T968">
        <v>1</v>
      </c>
      <c r="V968">
        <v>76.5</v>
      </c>
      <c r="W968">
        <v>10</v>
      </c>
      <c r="X968" t="s">
        <v>615</v>
      </c>
    </row>
    <row r="969" spans="1:24">
      <c r="A969" t="str">
        <f>Hyperlink("https://www.diodes.com/part/view/DMP21D0UFD","DMP21D0UFD")</f>
        <v>DMP21D0UFD</v>
      </c>
      <c r="B969" t="str">
        <f>Hyperlink("https://www.diodes.com/assets/Datasheets/DMP21D0UFD.pdf","DMP21D0UFD Datasheet")</f>
        <v>DMP21D0UFD Datasheet</v>
      </c>
      <c r="C969" t="s">
        <v>51</v>
      </c>
      <c r="D969" t="s">
        <v>25</v>
      </c>
      <c r="E969" t="s">
        <v>26</v>
      </c>
      <c r="F969" t="s">
        <v>52</v>
      </c>
      <c r="G969" t="s">
        <v>25</v>
      </c>
      <c r="H969">
        <v>20</v>
      </c>
      <c r="I969">
        <v>8</v>
      </c>
      <c r="J969">
        <v>1.14</v>
      </c>
      <c r="L969">
        <v>0.93</v>
      </c>
      <c r="O969">
        <v>495</v>
      </c>
      <c r="P969">
        <v>730</v>
      </c>
      <c r="Q969">
        <v>960</v>
      </c>
      <c r="R969">
        <v>0.45</v>
      </c>
      <c r="S969">
        <v>1.2</v>
      </c>
      <c r="T969">
        <v>1</v>
      </c>
      <c r="V969">
        <v>76.5</v>
      </c>
      <c r="W969">
        <v>10</v>
      </c>
      <c r="X969" t="s">
        <v>644</v>
      </c>
    </row>
    <row r="970" spans="1:24">
      <c r="A970" t="str">
        <f>Hyperlink("https://www.diodes.com/part/view/DMP21D0UT","DMP21D0UT")</f>
        <v>DMP21D0UT</v>
      </c>
      <c r="B970" t="str">
        <f>Hyperlink("https://www.diodes.com/assets/Datasheets/DMP21D0UT.pdf","DMP21D0UT Datasheet")</f>
        <v>DMP21D0UT Datasheet</v>
      </c>
      <c r="C970" t="s">
        <v>51</v>
      </c>
      <c r="D970" t="s">
        <v>25</v>
      </c>
      <c r="E970" t="s">
        <v>26</v>
      </c>
      <c r="F970" t="s">
        <v>52</v>
      </c>
      <c r="G970" t="s">
        <v>25</v>
      </c>
      <c r="H970">
        <v>20</v>
      </c>
      <c r="I970">
        <v>8</v>
      </c>
      <c r="J970">
        <v>0.65</v>
      </c>
      <c r="L970">
        <v>0.33</v>
      </c>
      <c r="O970">
        <v>495</v>
      </c>
      <c r="P970">
        <v>690</v>
      </c>
      <c r="Q970">
        <v>960</v>
      </c>
      <c r="R970">
        <v>0.45</v>
      </c>
      <c r="S970">
        <v>1.2</v>
      </c>
      <c r="T970">
        <v>1</v>
      </c>
      <c r="V970">
        <v>76.5</v>
      </c>
      <c r="W970">
        <v>10</v>
      </c>
      <c r="X970" t="s">
        <v>41</v>
      </c>
    </row>
    <row r="971" spans="1:24">
      <c r="A971" t="str">
        <f>Hyperlink("https://www.diodes.com/part/view/DMP21D1UT","DMP21D1UT")</f>
        <v>DMP21D1UT</v>
      </c>
      <c r="B971" t="str">
        <f>Hyperlink("https://www.diodes.com/assets/Datasheets/DMP21D1UT.pdf","DMP21D1UT Datasheet")</f>
        <v>DMP21D1UT Datasheet</v>
      </c>
      <c r="C971" t="s">
        <v>777</v>
      </c>
      <c r="D971" t="s">
        <v>28</v>
      </c>
      <c r="E971" t="s">
        <v>26</v>
      </c>
      <c r="F971" t="s">
        <v>52</v>
      </c>
      <c r="G971" t="s">
        <v>25</v>
      </c>
      <c r="H971">
        <v>20</v>
      </c>
      <c r="I971">
        <v>8</v>
      </c>
      <c r="J971">
        <v>0.63</v>
      </c>
      <c r="L971">
        <v>0.44</v>
      </c>
      <c r="O971">
        <v>710</v>
      </c>
      <c r="P971">
        <v>930</v>
      </c>
      <c r="Q971">
        <v>1250</v>
      </c>
      <c r="R971">
        <v>0.5</v>
      </c>
      <c r="S971">
        <v>1</v>
      </c>
      <c r="T971">
        <v>1.4</v>
      </c>
      <c r="V971">
        <v>33</v>
      </c>
      <c r="W971">
        <v>10</v>
      </c>
      <c r="X971" t="s">
        <v>41</v>
      </c>
    </row>
    <row r="972" spans="1:24">
      <c r="A972" t="str">
        <f>Hyperlink("https://www.diodes.com/part/view/DMP21D1UTQ","DMP21D1UTQ")</f>
        <v>DMP21D1UTQ</v>
      </c>
      <c r="B972" t="str">
        <f>Hyperlink("https://www.diodes.com/assets/Datasheets/DMP21D1UTQ.pdf","DMP21D1UTQ Datasheet")</f>
        <v>DMP21D1UTQ Datasheet</v>
      </c>
      <c r="C972" t="s">
        <v>777</v>
      </c>
      <c r="D972" t="s">
        <v>25</v>
      </c>
      <c r="E972" t="s">
        <v>33</v>
      </c>
      <c r="F972" t="s">
        <v>52</v>
      </c>
      <c r="G972" t="s">
        <v>25</v>
      </c>
      <c r="H972">
        <v>20</v>
      </c>
      <c r="I972">
        <v>8</v>
      </c>
      <c r="J972">
        <v>0.63</v>
      </c>
      <c r="L972">
        <v>0.44</v>
      </c>
      <c r="O972">
        <v>710</v>
      </c>
      <c r="P972">
        <v>930</v>
      </c>
      <c r="Q972">
        <v>1250</v>
      </c>
      <c r="R972">
        <v>0.5</v>
      </c>
      <c r="S972">
        <v>1</v>
      </c>
      <c r="T972">
        <v>1.4</v>
      </c>
      <c r="V972">
        <v>33</v>
      </c>
      <c r="W972">
        <v>10</v>
      </c>
      <c r="X972" t="s">
        <v>41</v>
      </c>
    </row>
    <row r="973" spans="1:24">
      <c r="A973" t="str">
        <f>Hyperlink("https://www.diodes.com/part/view/DMP21D2UFA","DMP21D2UFA")</f>
        <v>DMP21D2UFA</v>
      </c>
      <c r="B973" t="str">
        <f>Hyperlink("https://www.diodes.com/assets/Datasheets/DMP21D2UFA.pdf","DMP21D2UFA Datasheet")</f>
        <v>DMP21D2UFA Datasheet</v>
      </c>
      <c r="C973" t="s">
        <v>51</v>
      </c>
      <c r="D973" t="s">
        <v>28</v>
      </c>
      <c r="E973" t="s">
        <v>26</v>
      </c>
      <c r="F973" t="s">
        <v>52</v>
      </c>
      <c r="G973" t="s">
        <v>25</v>
      </c>
      <c r="H973">
        <v>20</v>
      </c>
      <c r="I973">
        <v>8</v>
      </c>
      <c r="J973">
        <v>0.33</v>
      </c>
      <c r="L973">
        <v>0.36</v>
      </c>
      <c r="O973">
        <v>1000</v>
      </c>
      <c r="P973">
        <v>1200</v>
      </c>
      <c r="Q973">
        <v>1600</v>
      </c>
      <c r="R973">
        <v>0.3</v>
      </c>
      <c r="S973">
        <v>1</v>
      </c>
      <c r="T973">
        <v>0.8</v>
      </c>
      <c r="V973">
        <v>49</v>
      </c>
      <c r="W973">
        <v>15</v>
      </c>
      <c r="X973" t="s">
        <v>595</v>
      </c>
    </row>
    <row r="974" spans="1:24">
      <c r="A974" t="str">
        <f>Hyperlink("https://www.diodes.com/part/view/DMP21D5UFB4","DMP21D5UFB4")</f>
        <v>DMP21D5UFB4</v>
      </c>
      <c r="B974" t="str">
        <f>Hyperlink("https://www.diodes.com/assets/Datasheets/DMP21D5UFB4.pdf","DMP21D5UFB4 Datasheet")</f>
        <v>DMP21D5UFB4 Datasheet</v>
      </c>
      <c r="C974" t="s">
        <v>51</v>
      </c>
      <c r="D974" t="s">
        <v>25</v>
      </c>
      <c r="E974" t="s">
        <v>26</v>
      </c>
      <c r="F974" t="s">
        <v>52</v>
      </c>
      <c r="G974" t="s">
        <v>25</v>
      </c>
      <c r="H974">
        <v>20</v>
      </c>
      <c r="I974">
        <v>8</v>
      </c>
      <c r="J974">
        <v>0.7</v>
      </c>
      <c r="L974">
        <v>0.95</v>
      </c>
      <c r="O974">
        <v>1000</v>
      </c>
      <c r="P974">
        <v>1500</v>
      </c>
      <c r="Q974">
        <v>2000</v>
      </c>
      <c r="R974">
        <v>0.5</v>
      </c>
      <c r="S974">
        <v>1</v>
      </c>
      <c r="T974">
        <v>0.5</v>
      </c>
      <c r="V974">
        <v>46.1</v>
      </c>
      <c r="W974">
        <v>10</v>
      </c>
      <c r="X974" t="s">
        <v>615</v>
      </c>
    </row>
    <row r="975" spans="1:24">
      <c r="A975" t="str">
        <f>Hyperlink("https://www.diodes.com/part/view/DMP21D6UFB4","DMP21D6UFB4")</f>
        <v>DMP21D6UFB4</v>
      </c>
      <c r="B975" t="str">
        <f>Hyperlink("https://www.diodes.com/assets/Datasheets/DMP21D6UFB4.pdf","DMP21D6UFB4 Datasheet")</f>
        <v>DMP21D6UFB4 Datasheet</v>
      </c>
      <c r="C975" t="s">
        <v>497</v>
      </c>
      <c r="D975" t="s">
        <v>28</v>
      </c>
      <c r="E975" t="s">
        <v>26</v>
      </c>
      <c r="F975" t="s">
        <v>52</v>
      </c>
      <c r="G975" t="s">
        <v>25</v>
      </c>
      <c r="H975">
        <v>20</v>
      </c>
      <c r="I975">
        <v>8</v>
      </c>
      <c r="J975">
        <v>0.58</v>
      </c>
      <c r="L975">
        <v>0.98</v>
      </c>
      <c r="O975">
        <v>1000</v>
      </c>
      <c r="P975">
        <v>1500</v>
      </c>
      <c r="Q975">
        <v>2000</v>
      </c>
      <c r="R975">
        <v>0.5</v>
      </c>
      <c r="S975">
        <v>1</v>
      </c>
      <c r="T975">
        <v>0.5</v>
      </c>
      <c r="U975" t="s">
        <v>813</v>
      </c>
      <c r="V975">
        <v>46.1</v>
      </c>
      <c r="W975">
        <v>10</v>
      </c>
      <c r="X975" t="s">
        <v>615</v>
      </c>
    </row>
    <row r="976" spans="1:24">
      <c r="A976" t="str">
        <f>Hyperlink("https://www.diodes.com/part/view/DMP21D6UFD","DMP21D6UFD")</f>
        <v>DMP21D6UFD</v>
      </c>
      <c r="B976" t="str">
        <f>Hyperlink("https://www.diodes.com/assets/Datasheets/DMP21D6UFD.pdf","DMP21D6UFD Datasheet")</f>
        <v>DMP21D6UFD Datasheet</v>
      </c>
      <c r="C976" t="s">
        <v>51</v>
      </c>
      <c r="D976" t="s">
        <v>28</v>
      </c>
      <c r="E976" t="s">
        <v>26</v>
      </c>
      <c r="F976" t="s">
        <v>52</v>
      </c>
      <c r="G976" t="s">
        <v>25</v>
      </c>
      <c r="H976">
        <v>20</v>
      </c>
      <c r="I976">
        <v>8</v>
      </c>
      <c r="J976">
        <v>0.6</v>
      </c>
      <c r="L976">
        <v>0.8</v>
      </c>
      <c r="O976">
        <v>1000</v>
      </c>
      <c r="P976">
        <v>1500</v>
      </c>
      <c r="Q976">
        <v>2000</v>
      </c>
      <c r="R976">
        <v>0.5</v>
      </c>
      <c r="S976">
        <v>1</v>
      </c>
      <c r="T976">
        <v>0.5</v>
      </c>
      <c r="V976">
        <v>46.1</v>
      </c>
      <c r="W976">
        <v>10</v>
      </c>
      <c r="X976" t="s">
        <v>644</v>
      </c>
    </row>
    <row r="977" spans="1:24">
      <c r="A977" t="str">
        <f>Hyperlink("https://www.diodes.com/part/view/DMP2200UDW","DMP2200UDW")</f>
        <v>DMP2200UDW</v>
      </c>
      <c r="B977" t="str">
        <f>Hyperlink("https://www.diodes.com/assets/Datasheets/DMP2200UDW.pdf","DMP2200UDW Datasheet")</f>
        <v>DMP2200UDW Datasheet</v>
      </c>
      <c r="C977" t="s">
        <v>77</v>
      </c>
      <c r="D977" t="s">
        <v>28</v>
      </c>
      <c r="E977" t="s">
        <v>26</v>
      </c>
      <c r="F977" t="s">
        <v>78</v>
      </c>
      <c r="G977" t="s">
        <v>25</v>
      </c>
      <c r="H977">
        <v>20</v>
      </c>
      <c r="I977">
        <v>8</v>
      </c>
      <c r="J977">
        <v>0.9</v>
      </c>
      <c r="L977">
        <v>0.6</v>
      </c>
      <c r="O977">
        <v>260</v>
      </c>
      <c r="P977">
        <v>500</v>
      </c>
      <c r="Q977">
        <v>1000</v>
      </c>
      <c r="R977">
        <v>0.4</v>
      </c>
      <c r="S977">
        <v>1.2</v>
      </c>
      <c r="T977">
        <v>2.1</v>
      </c>
      <c r="V977">
        <v>184</v>
      </c>
      <c r="W977">
        <v>10</v>
      </c>
      <c r="X977" t="s">
        <v>37</v>
      </c>
    </row>
    <row r="978" spans="1:24">
      <c r="A978" t="str">
        <f>Hyperlink("https://www.diodes.com/part/view/DMP2200UFCL","DMP2200UFCL")</f>
        <v>DMP2200UFCL</v>
      </c>
      <c r="B978" t="str">
        <f>Hyperlink("https://www.diodes.com/assets/Datasheets/DMP2200UFCL.pdf","DMP2200UFCL Datasheet")</f>
        <v>DMP2200UFCL Datasheet</v>
      </c>
      <c r="C978" t="s">
        <v>77</v>
      </c>
      <c r="D978" t="s">
        <v>25</v>
      </c>
      <c r="E978" t="s">
        <v>26</v>
      </c>
      <c r="F978" t="s">
        <v>78</v>
      </c>
      <c r="G978" t="s">
        <v>25</v>
      </c>
      <c r="H978">
        <v>20</v>
      </c>
      <c r="I978">
        <v>8</v>
      </c>
      <c r="J978">
        <v>1.7</v>
      </c>
      <c r="L978">
        <v>1.58</v>
      </c>
      <c r="O978">
        <v>200</v>
      </c>
      <c r="P978">
        <v>290</v>
      </c>
      <c r="Q978">
        <v>390</v>
      </c>
      <c r="R978">
        <v>0.4</v>
      </c>
      <c r="S978">
        <v>1.2</v>
      </c>
      <c r="T978">
        <v>2.2</v>
      </c>
      <c r="V978">
        <v>184</v>
      </c>
      <c r="W978">
        <v>10</v>
      </c>
      <c r="X978" t="s">
        <v>814</v>
      </c>
    </row>
    <row r="979" spans="1:24">
      <c r="A979" t="str">
        <f>Hyperlink("https://www.diodes.com/part/view/DMP2240UDM","DMP2240UDM")</f>
        <v>DMP2240UDM</v>
      </c>
      <c r="B979" t="str">
        <f>Hyperlink("https://www.diodes.com/assets/Datasheets/ds31197.pdf","DMP2240UDM Datasheet")</f>
        <v>DMP2240UDM Datasheet</v>
      </c>
      <c r="C979" t="s">
        <v>77</v>
      </c>
      <c r="D979" t="s">
        <v>25</v>
      </c>
      <c r="E979" t="s">
        <v>26</v>
      </c>
      <c r="F979" t="s">
        <v>78</v>
      </c>
      <c r="G979" t="s">
        <v>28</v>
      </c>
      <c r="H979">
        <v>20</v>
      </c>
      <c r="I979">
        <v>12</v>
      </c>
      <c r="J979">
        <v>2</v>
      </c>
      <c r="L979">
        <v>0.6</v>
      </c>
      <c r="O979">
        <v>150</v>
      </c>
      <c r="P979">
        <v>200</v>
      </c>
      <c r="Q979">
        <v>240</v>
      </c>
      <c r="R979">
        <v>0.45</v>
      </c>
      <c r="S979">
        <v>1</v>
      </c>
      <c r="V979">
        <v>320</v>
      </c>
      <c r="W979">
        <v>16</v>
      </c>
      <c r="X979" t="s">
        <v>261</v>
      </c>
    </row>
    <row r="980" spans="1:24">
      <c r="A980" t="str">
        <f>Hyperlink("https://www.diodes.com/part/view/DMP2240UW","DMP2240UW")</f>
        <v>DMP2240UW</v>
      </c>
      <c r="B980" t="str">
        <f>Hyperlink("https://www.diodes.com/assets/Datasheets/ds31372.pdf","DMP2240UW Datasheet")</f>
        <v>DMP2240UW Datasheet</v>
      </c>
      <c r="C980" t="s">
        <v>51</v>
      </c>
      <c r="D980" t="s">
        <v>25</v>
      </c>
      <c r="E980" t="s">
        <v>26</v>
      </c>
      <c r="F980" t="s">
        <v>52</v>
      </c>
      <c r="G980" t="s">
        <v>28</v>
      </c>
      <c r="H980">
        <v>20</v>
      </c>
      <c r="I980">
        <v>12</v>
      </c>
      <c r="J980">
        <v>1.5</v>
      </c>
      <c r="L980">
        <v>0.25</v>
      </c>
      <c r="O980">
        <v>150</v>
      </c>
      <c r="P980">
        <v>200</v>
      </c>
      <c r="Q980">
        <v>240</v>
      </c>
      <c r="R980">
        <v>0.45</v>
      </c>
      <c r="S980">
        <v>1</v>
      </c>
      <c r="V980">
        <v>320</v>
      </c>
      <c r="W980">
        <v>16</v>
      </c>
      <c r="X980" t="s">
        <v>60</v>
      </c>
    </row>
    <row r="981" spans="1:24">
      <c r="A981" t="str">
        <f>Hyperlink("https://www.diodes.com/part/view/DMP2240UWQ","DMP2240UWQ")</f>
        <v>DMP2240UWQ</v>
      </c>
      <c r="B981" t="str">
        <f>Hyperlink("https://www.diodes.com/assets/Datasheets/DMP2240UWQ.pdf","DMP2240UWQ Datasheet")</f>
        <v>DMP2240UWQ Datasheet</v>
      </c>
      <c r="C981" t="s">
        <v>497</v>
      </c>
      <c r="D981" t="s">
        <v>25</v>
      </c>
      <c r="E981" t="s">
        <v>33</v>
      </c>
      <c r="F981" t="s">
        <v>52</v>
      </c>
      <c r="G981" t="s">
        <v>28</v>
      </c>
      <c r="H981">
        <v>20</v>
      </c>
      <c r="I981">
        <v>12</v>
      </c>
      <c r="J981">
        <v>1.5</v>
      </c>
      <c r="L981">
        <v>0.25</v>
      </c>
      <c r="O981">
        <v>150</v>
      </c>
      <c r="P981">
        <v>200</v>
      </c>
      <c r="Q981">
        <v>240</v>
      </c>
      <c r="R981">
        <v>0.45</v>
      </c>
      <c r="S981">
        <v>1</v>
      </c>
      <c r="V981">
        <v>320</v>
      </c>
      <c r="W981">
        <v>16</v>
      </c>
      <c r="X981" t="s">
        <v>60</v>
      </c>
    </row>
    <row r="982" spans="1:24">
      <c r="A982" t="str">
        <f>Hyperlink("https://www.diodes.com/part/view/DMP22D4UDA","DMP22D4UDA")</f>
        <v>DMP22D4UDA</v>
      </c>
      <c r="B982" t="str">
        <f>Hyperlink("https://www.diodes.com/assets/Datasheets/DMP22D4UDA.pdf","DMP22D4UDA Datasheet")</f>
        <v>DMP22D4UDA Datasheet</v>
      </c>
      <c r="C982" t="s">
        <v>497</v>
      </c>
      <c r="D982" t="s">
        <v>25</v>
      </c>
      <c r="E982" t="s">
        <v>26</v>
      </c>
      <c r="F982" t="s">
        <v>78</v>
      </c>
      <c r="G982" t="s">
        <v>25</v>
      </c>
      <c r="H982">
        <v>20</v>
      </c>
      <c r="I982">
        <v>8</v>
      </c>
      <c r="J982">
        <v>0.33</v>
      </c>
      <c r="L982">
        <v>0.31</v>
      </c>
      <c r="O982">
        <v>1900</v>
      </c>
      <c r="P982">
        <v>2400</v>
      </c>
      <c r="Q982">
        <v>3400</v>
      </c>
      <c r="R982">
        <v>0.4</v>
      </c>
      <c r="S982">
        <v>1</v>
      </c>
      <c r="T982">
        <v>0.4</v>
      </c>
      <c r="V982">
        <v>28.5</v>
      </c>
      <c r="W982">
        <v>15</v>
      </c>
      <c r="X982" t="s">
        <v>225</v>
      </c>
    </row>
    <row r="983" spans="1:24">
      <c r="A983" t="str">
        <f>Hyperlink("https://www.diodes.com/part/view/DMP22D4UFA","DMP22D4UFA")</f>
        <v>DMP22D4UFA</v>
      </c>
      <c r="B983" t="str">
        <f>Hyperlink("https://www.diodes.com/assets/Datasheets/DMP22D4UFA.pdf","DMP22D4UFA Datasheet")</f>
        <v>DMP22D4UFA Datasheet</v>
      </c>
      <c r="C983" t="s">
        <v>51</v>
      </c>
      <c r="D983" t="s">
        <v>25</v>
      </c>
      <c r="E983" t="s">
        <v>26</v>
      </c>
      <c r="F983" t="s">
        <v>52</v>
      </c>
      <c r="G983" t="s">
        <v>25</v>
      </c>
      <c r="H983">
        <v>20</v>
      </c>
      <c r="I983">
        <v>8</v>
      </c>
      <c r="J983">
        <v>0.33</v>
      </c>
      <c r="L983">
        <v>0.4</v>
      </c>
      <c r="O983">
        <v>1900</v>
      </c>
      <c r="P983">
        <v>2400</v>
      </c>
      <c r="Q983">
        <v>3400</v>
      </c>
      <c r="R983">
        <v>0.4</v>
      </c>
      <c r="S983">
        <v>1</v>
      </c>
      <c r="T983">
        <v>0.4</v>
      </c>
      <c r="V983">
        <v>28.7</v>
      </c>
      <c r="W983">
        <v>15</v>
      </c>
      <c r="X983" t="s">
        <v>595</v>
      </c>
    </row>
    <row r="984" spans="1:24">
      <c r="A984" t="str">
        <f>Hyperlink("https://www.diodes.com/part/view/DMP22D4UFO","DMP22D4UFO")</f>
        <v>DMP22D4UFO</v>
      </c>
      <c r="B984" t="str">
        <f>Hyperlink("https://www.diodes.com/assets/Datasheets/DMP22D4UFO.pdf","DMP22D4UFO Datasheet")</f>
        <v>DMP22D4UFO Datasheet</v>
      </c>
      <c r="C984" t="s">
        <v>497</v>
      </c>
      <c r="D984" t="s">
        <v>25</v>
      </c>
      <c r="E984" t="s">
        <v>26</v>
      </c>
      <c r="F984" t="s">
        <v>52</v>
      </c>
      <c r="G984" t="s">
        <v>25</v>
      </c>
      <c r="H984">
        <v>20</v>
      </c>
      <c r="I984">
        <v>8</v>
      </c>
      <c r="J984">
        <v>0.53</v>
      </c>
      <c r="L984">
        <v>0.82</v>
      </c>
      <c r="O984">
        <v>1900</v>
      </c>
      <c r="P984">
        <v>2400</v>
      </c>
      <c r="Q984">
        <v>3400</v>
      </c>
      <c r="R984">
        <v>0.4</v>
      </c>
      <c r="S984">
        <v>1</v>
      </c>
      <c r="T984">
        <v>0.4</v>
      </c>
      <c r="V984">
        <v>28.7</v>
      </c>
      <c r="W984">
        <v>15</v>
      </c>
      <c r="X984" t="s">
        <v>650</v>
      </c>
    </row>
    <row r="985" spans="1:24">
      <c r="A985" t="str">
        <f>Hyperlink("https://www.diodes.com/part/view/DMP22D5UDA","DMP22D5UDA")</f>
        <v>DMP22D5UDA</v>
      </c>
      <c r="B985" t="str">
        <f>Hyperlink("https://www.diodes.com/assets/Datasheets/DMP22D5UDA.pdf","DMP22D5UDA Datasheet")</f>
        <v>DMP22D5UDA Datasheet</v>
      </c>
      <c r="C985" t="s">
        <v>815</v>
      </c>
      <c r="D985" t="s">
        <v>28</v>
      </c>
      <c r="E985" t="s">
        <v>26</v>
      </c>
      <c r="F985" t="s">
        <v>78</v>
      </c>
      <c r="G985" t="s">
        <v>25</v>
      </c>
      <c r="H985">
        <v>20</v>
      </c>
      <c r="I985">
        <v>8</v>
      </c>
      <c r="J985">
        <v>0.35</v>
      </c>
      <c r="L985">
        <v>0.35</v>
      </c>
      <c r="O985">
        <v>1900</v>
      </c>
      <c r="P985">
        <v>2400</v>
      </c>
      <c r="Q985">
        <v>3400</v>
      </c>
      <c r="R985">
        <v>0.4</v>
      </c>
      <c r="S985">
        <v>1</v>
      </c>
      <c r="T985">
        <v>0.3</v>
      </c>
      <c r="V985">
        <v>17</v>
      </c>
      <c r="W985">
        <v>15</v>
      </c>
      <c r="X985" t="s">
        <v>225</v>
      </c>
    </row>
    <row r="986" spans="1:24">
      <c r="A986" t="str">
        <f>Hyperlink("https://www.diodes.com/part/view/DMP22D5UDJ","DMP22D5UDJ")</f>
        <v>DMP22D5UDJ</v>
      </c>
      <c r="B986" t="str">
        <f>Hyperlink("https://www.diodes.com/assets/Datasheets/DMP22D5UDJ.pdf","DMP22D5UDJ Datasheet")</f>
        <v>DMP22D5UDJ Datasheet</v>
      </c>
      <c r="C986" t="s">
        <v>80</v>
      </c>
      <c r="D986" t="s">
        <v>28</v>
      </c>
      <c r="E986" t="s">
        <v>26</v>
      </c>
      <c r="F986" t="s">
        <v>78</v>
      </c>
      <c r="G986" t="s">
        <v>25</v>
      </c>
      <c r="H986">
        <v>20</v>
      </c>
      <c r="I986">
        <v>8</v>
      </c>
      <c r="J986">
        <v>0.36</v>
      </c>
      <c r="L986">
        <v>0.38</v>
      </c>
      <c r="O986">
        <v>1900</v>
      </c>
      <c r="P986">
        <v>2400</v>
      </c>
      <c r="Q986">
        <v>3400</v>
      </c>
      <c r="R986">
        <v>0.4</v>
      </c>
      <c r="S986">
        <v>1</v>
      </c>
      <c r="T986">
        <v>0.3</v>
      </c>
      <c r="V986">
        <v>17</v>
      </c>
      <c r="W986">
        <v>15</v>
      </c>
      <c r="X986" t="s">
        <v>274</v>
      </c>
    </row>
    <row r="987" spans="1:24">
      <c r="A987" t="str">
        <f>Hyperlink("https://www.diodes.com/part/view/DMP22D5UDR4","DMP22D5UDR4")</f>
        <v>DMP22D5UDR4</v>
      </c>
      <c r="B987" t="str">
        <f>Hyperlink("https://www.diodes.com/assets/Datasheets/DMP22D5UDR4.pdf","DMP22D5UDR4 Datasheet")</f>
        <v>DMP22D5UDR4 Datasheet</v>
      </c>
      <c r="C987" t="s">
        <v>816</v>
      </c>
      <c r="D987" t="s">
        <v>28</v>
      </c>
      <c r="E987" t="s">
        <v>26</v>
      </c>
      <c r="F987" t="s">
        <v>52</v>
      </c>
      <c r="G987" t="s">
        <v>25</v>
      </c>
      <c r="H987">
        <v>20</v>
      </c>
      <c r="I987">
        <v>8</v>
      </c>
      <c r="J987">
        <v>0.36</v>
      </c>
      <c r="L987">
        <v>0.7</v>
      </c>
      <c r="O987">
        <v>1900</v>
      </c>
      <c r="P987">
        <v>2400</v>
      </c>
      <c r="Q987">
        <v>3400</v>
      </c>
      <c r="R987">
        <v>0.4</v>
      </c>
      <c r="S987">
        <v>1</v>
      </c>
      <c r="T987">
        <v>0.3</v>
      </c>
      <c r="V987">
        <v>17</v>
      </c>
      <c r="W987">
        <v>16</v>
      </c>
      <c r="X987" t="s">
        <v>284</v>
      </c>
    </row>
    <row r="988" spans="1:24">
      <c r="A988" t="str">
        <f>Hyperlink("https://www.diodes.com/part/view/DMP22D5UFA","DMP22D5UFA")</f>
        <v>DMP22D5UFA</v>
      </c>
      <c r="B988" t="str">
        <f>Hyperlink("https://www.diodes.com/assets/Datasheets/DMP22D5UFA.pdf","DMP22D5UFA Datasheet")</f>
        <v>DMP22D5UFA Datasheet</v>
      </c>
      <c r="C988" t="s">
        <v>817</v>
      </c>
      <c r="D988" t="s">
        <v>28</v>
      </c>
      <c r="E988" t="s">
        <v>26</v>
      </c>
      <c r="F988" t="s">
        <v>52</v>
      </c>
      <c r="G988" t="s">
        <v>25</v>
      </c>
      <c r="H988">
        <v>20</v>
      </c>
      <c r="I988">
        <v>8</v>
      </c>
      <c r="J988">
        <v>0.36</v>
      </c>
      <c r="L988">
        <v>0.37</v>
      </c>
      <c r="O988">
        <v>1900</v>
      </c>
      <c r="P988">
        <v>2400</v>
      </c>
      <c r="Q988">
        <v>3400</v>
      </c>
      <c r="R988">
        <v>0.4</v>
      </c>
      <c r="S988">
        <v>1</v>
      </c>
      <c r="T988">
        <v>0.3</v>
      </c>
      <c r="V988">
        <v>17</v>
      </c>
      <c r="W988">
        <v>16</v>
      </c>
      <c r="X988" t="s">
        <v>595</v>
      </c>
    </row>
    <row r="989" spans="1:24">
      <c r="A989" t="str">
        <f>Hyperlink("https://www.diodes.com/part/view/DMP22D5UFB4","DMP22D5UFB4")</f>
        <v>DMP22D5UFB4</v>
      </c>
      <c r="B989" t="str">
        <f>Hyperlink("https://www.diodes.com/assets/Datasheets/DMP22D5UFB4.pdf","DMP22D5UFB4 Datasheet")</f>
        <v>DMP22D5UFB4 Datasheet</v>
      </c>
      <c r="C989" t="s">
        <v>497</v>
      </c>
      <c r="D989" t="s">
        <v>28</v>
      </c>
      <c r="E989" t="s">
        <v>26</v>
      </c>
      <c r="F989" t="s">
        <v>52</v>
      </c>
      <c r="G989" t="s">
        <v>25</v>
      </c>
      <c r="H989">
        <v>20</v>
      </c>
      <c r="I989">
        <v>8</v>
      </c>
      <c r="J989">
        <v>0.4</v>
      </c>
      <c r="L989">
        <v>1.18</v>
      </c>
      <c r="O989">
        <v>1900</v>
      </c>
      <c r="P989">
        <v>2400</v>
      </c>
      <c r="Q989">
        <v>3400</v>
      </c>
      <c r="R989">
        <v>0.4</v>
      </c>
      <c r="S989">
        <v>1</v>
      </c>
      <c r="T989">
        <v>0.3</v>
      </c>
      <c r="V989">
        <v>17</v>
      </c>
      <c r="W989">
        <v>15</v>
      </c>
      <c r="X989" t="s">
        <v>615</v>
      </c>
    </row>
    <row r="990" spans="1:24">
      <c r="A990" t="str">
        <f>Hyperlink("https://www.diodes.com/part/view/DMP22D5UFB4Q","DMP22D5UFB4Q")</f>
        <v>DMP22D5UFB4Q</v>
      </c>
      <c r="B990" t="str">
        <f>Hyperlink("https://www.diodes.com/assets/Datasheets/DMP22D5UFB4Q.pdf","DMP22D5UFB4Q Datasheet")</f>
        <v>DMP22D5UFB4Q Datasheet</v>
      </c>
      <c r="C990" t="s">
        <v>817</v>
      </c>
      <c r="D990" t="s">
        <v>25</v>
      </c>
      <c r="E990" t="s">
        <v>33</v>
      </c>
      <c r="F990" t="s">
        <v>52</v>
      </c>
      <c r="G990" t="s">
        <v>25</v>
      </c>
      <c r="H990">
        <v>20</v>
      </c>
      <c r="I990">
        <v>8</v>
      </c>
      <c r="J990">
        <v>0.4</v>
      </c>
      <c r="L990">
        <v>1.18</v>
      </c>
      <c r="O990">
        <v>1900</v>
      </c>
      <c r="P990">
        <v>2400</v>
      </c>
      <c r="Q990">
        <v>3400</v>
      </c>
      <c r="R990">
        <v>0.4</v>
      </c>
      <c r="S990">
        <v>1</v>
      </c>
      <c r="T990">
        <v>0.3</v>
      </c>
      <c r="V990">
        <v>17</v>
      </c>
      <c r="W990">
        <v>15</v>
      </c>
      <c r="X990" t="s">
        <v>615</v>
      </c>
    </row>
    <row r="991" spans="1:24">
      <c r="A991" t="str">
        <f>Hyperlink("https://www.diodes.com/part/view/DMP22D5UFO","DMP22D5UFO")</f>
        <v>DMP22D5UFO</v>
      </c>
      <c r="B991" t="str">
        <f>Hyperlink("https://www.diodes.com/assets/Datasheets/DMP22D5UFO.pdf","DMP22D5UFO Datasheet")</f>
        <v>DMP22D5UFO Datasheet</v>
      </c>
      <c r="C991" t="s">
        <v>497</v>
      </c>
      <c r="D991" t="s">
        <v>28</v>
      </c>
      <c r="E991" t="s">
        <v>26</v>
      </c>
      <c r="F991" t="s">
        <v>52</v>
      </c>
      <c r="G991" t="s">
        <v>25</v>
      </c>
      <c r="H991">
        <v>20</v>
      </c>
      <c r="I991">
        <v>8</v>
      </c>
      <c r="J991">
        <v>0.51</v>
      </c>
      <c r="L991">
        <v>0.34</v>
      </c>
      <c r="O991">
        <v>1900</v>
      </c>
      <c r="P991">
        <v>2400</v>
      </c>
      <c r="Q991">
        <v>3400</v>
      </c>
      <c r="R991">
        <v>0.4</v>
      </c>
      <c r="S991">
        <v>1</v>
      </c>
      <c r="T991">
        <v>0.3</v>
      </c>
      <c r="V991">
        <v>17</v>
      </c>
      <c r="W991">
        <v>16</v>
      </c>
      <c r="X991" t="s">
        <v>650</v>
      </c>
    </row>
    <row r="992" spans="1:24">
      <c r="A992" t="str">
        <f>Hyperlink("https://www.diodes.com/part/view/DMP22D5UFZ","DMP22D5UFZ")</f>
        <v>DMP22D5UFZ</v>
      </c>
      <c r="B992" t="str">
        <f>Hyperlink("https://www.diodes.com/assets/Datasheets/DMP22D5UFZ.pdf","DMP22D5UFZ Datasheet")</f>
        <v>DMP22D5UFZ Datasheet</v>
      </c>
      <c r="C992" t="s">
        <v>777</v>
      </c>
      <c r="D992" t="s">
        <v>28</v>
      </c>
      <c r="E992" t="s">
        <v>26</v>
      </c>
      <c r="F992" t="s">
        <v>52</v>
      </c>
      <c r="G992" t="s">
        <v>25</v>
      </c>
      <c r="H992">
        <v>20</v>
      </c>
      <c r="I992">
        <v>8</v>
      </c>
      <c r="J992">
        <v>0.33</v>
      </c>
      <c r="L992">
        <v>0.95</v>
      </c>
      <c r="O992">
        <v>1900</v>
      </c>
      <c r="P992">
        <v>2400</v>
      </c>
      <c r="Q992">
        <v>3400</v>
      </c>
      <c r="R992">
        <v>0.4</v>
      </c>
      <c r="S992">
        <v>1</v>
      </c>
      <c r="T992">
        <v>0.3</v>
      </c>
      <c r="V992">
        <v>17</v>
      </c>
      <c r="W992">
        <v>16</v>
      </c>
      <c r="X992" t="s">
        <v>651</v>
      </c>
    </row>
    <row r="993" spans="1:24">
      <c r="A993" t="str">
        <f>Hyperlink("https://www.diodes.com/part/view/DMP22D6UFB4","DMP22D6UFB4")</f>
        <v>DMP22D6UFB4</v>
      </c>
      <c r="B993" t="str">
        <f>Hyperlink("https://www.diodes.com/assets/Datasheets/DMP22D6UFB4.pdf","DMP22D6UFB4 Datasheet")</f>
        <v>DMP22D6UFB4 Datasheet</v>
      </c>
      <c r="C993" t="s">
        <v>817</v>
      </c>
      <c r="D993" t="s">
        <v>28</v>
      </c>
      <c r="E993" t="s">
        <v>26</v>
      </c>
      <c r="F993" t="s">
        <v>818</v>
      </c>
      <c r="G993" t="s">
        <v>25</v>
      </c>
      <c r="H993">
        <v>20</v>
      </c>
      <c r="I993">
        <v>8</v>
      </c>
      <c r="J993">
        <v>1</v>
      </c>
      <c r="L993">
        <v>1</v>
      </c>
      <c r="O993">
        <v>1900</v>
      </c>
      <c r="P993">
        <v>2400</v>
      </c>
      <c r="Q993">
        <v>3400</v>
      </c>
      <c r="R993">
        <v>0.4</v>
      </c>
      <c r="S993">
        <v>1</v>
      </c>
      <c r="T993">
        <v>0.5</v>
      </c>
      <c r="V993">
        <v>22.2</v>
      </c>
      <c r="W993">
        <v>15</v>
      </c>
      <c r="X993" t="s">
        <v>615</v>
      </c>
    </row>
    <row r="994" spans="1:24">
      <c r="A994" t="str">
        <f>Hyperlink("https://www.diodes.com/part/view/DMP22D6UFB4Q","DMP22D6UFB4Q")</f>
        <v>DMP22D6UFB4Q</v>
      </c>
      <c r="B994" t="str">
        <f>Hyperlink("https://www.diodes.com/assets/Datasheets/DMP22D6UFB4Q.pdf","DMP22D6UFB4Q Datasheet")</f>
        <v>DMP22D6UFB4Q Datasheet</v>
      </c>
      <c r="C994" t="s">
        <v>817</v>
      </c>
      <c r="D994" t="s">
        <v>25</v>
      </c>
      <c r="E994" t="s">
        <v>33</v>
      </c>
      <c r="F994" t="s">
        <v>52</v>
      </c>
      <c r="G994" t="s">
        <v>25</v>
      </c>
      <c r="H994">
        <v>20</v>
      </c>
      <c r="I994">
        <v>8</v>
      </c>
      <c r="J994">
        <v>1</v>
      </c>
      <c r="L994">
        <v>1</v>
      </c>
      <c r="O994">
        <v>1900</v>
      </c>
      <c r="P994">
        <v>2400</v>
      </c>
      <c r="Q994">
        <v>3400</v>
      </c>
      <c r="R994">
        <v>0.4</v>
      </c>
      <c r="S994">
        <v>1</v>
      </c>
      <c r="T994">
        <v>0.5</v>
      </c>
      <c r="V994">
        <v>22.2</v>
      </c>
      <c r="W994">
        <v>15</v>
      </c>
      <c r="X994" t="s">
        <v>615</v>
      </c>
    </row>
    <row r="995" spans="1:24">
      <c r="A995" t="str">
        <f>Hyperlink("https://www.diodes.com/part/view/DMP22D6UT","DMP22D6UT")</f>
        <v>DMP22D6UT</v>
      </c>
      <c r="B995" t="str">
        <f>Hyperlink("https://www.diodes.com/assets/Datasheets/ds31585.pdf","DMP22D6UT Datasheet")</f>
        <v>DMP22D6UT Datasheet</v>
      </c>
      <c r="C995" t="s">
        <v>51</v>
      </c>
      <c r="D995" t="s">
        <v>25</v>
      </c>
      <c r="E995" t="s">
        <v>26</v>
      </c>
      <c r="F995" t="s">
        <v>52</v>
      </c>
      <c r="G995" t="s">
        <v>25</v>
      </c>
      <c r="H995">
        <v>20</v>
      </c>
      <c r="I995">
        <v>8</v>
      </c>
      <c r="J995">
        <v>0.43</v>
      </c>
      <c r="L995">
        <v>0.15</v>
      </c>
      <c r="O995">
        <v>1100</v>
      </c>
      <c r="P995">
        <v>1600</v>
      </c>
      <c r="Q995">
        <v>2600</v>
      </c>
      <c r="R995">
        <v>0.5</v>
      </c>
      <c r="S995">
        <v>1</v>
      </c>
      <c r="V995">
        <v>95</v>
      </c>
      <c r="W995">
        <v>16</v>
      </c>
      <c r="X995" t="s">
        <v>41</v>
      </c>
    </row>
    <row r="996" spans="1:24">
      <c r="A996" t="str">
        <f>Hyperlink("https://www.diodes.com/part/view/DMP22M1UPSW","DMP22M1UPSW")</f>
        <v>DMP22M1UPSW</v>
      </c>
      <c r="B996" t="str">
        <f>Hyperlink("https://www.diodes.com/assets/Datasheets/DMP22M1UPSW.pdf","DMP22M1UPSW Datasheet")</f>
        <v>DMP22M1UPSW Datasheet</v>
      </c>
      <c r="C996" t="s">
        <v>817</v>
      </c>
      <c r="D996" t="s">
        <v>28</v>
      </c>
      <c r="E996" t="s">
        <v>26</v>
      </c>
      <c r="F996" t="s">
        <v>52</v>
      </c>
      <c r="G996" t="s">
        <v>28</v>
      </c>
      <c r="H996">
        <v>20</v>
      </c>
      <c r="I996">
        <v>12</v>
      </c>
      <c r="K996">
        <v>60</v>
      </c>
      <c r="L996">
        <v>3.2</v>
      </c>
      <c r="N996">
        <v>1.9</v>
      </c>
      <c r="O996">
        <v>2.4</v>
      </c>
      <c r="P996">
        <v>4</v>
      </c>
      <c r="R996">
        <v>0.5</v>
      </c>
      <c r="S996">
        <v>1.4</v>
      </c>
      <c r="T996">
        <v>196</v>
      </c>
      <c r="U996">
        <v>425</v>
      </c>
      <c r="V996">
        <v>15853</v>
      </c>
      <c r="W996">
        <v>10</v>
      </c>
      <c r="X996" t="s">
        <v>819</v>
      </c>
    </row>
    <row r="997" spans="1:24">
      <c r="A997" t="str">
        <f>Hyperlink("https://www.diodes.com/part/view/DMP22M2UPS","DMP22M2UPS")</f>
        <v>DMP22M2UPS</v>
      </c>
      <c r="B997" t="str">
        <f>Hyperlink("https://www.diodes.com/assets/Datasheets/DMP22M2UPS.pdf","DMP22M2UPS Datasheet")</f>
        <v>DMP22M2UPS Datasheet</v>
      </c>
      <c r="C997" t="s">
        <v>497</v>
      </c>
      <c r="D997" t="s">
        <v>28</v>
      </c>
      <c r="E997" t="s">
        <v>26</v>
      </c>
      <c r="F997" t="s">
        <v>52</v>
      </c>
      <c r="G997" t="s">
        <v>28</v>
      </c>
      <c r="H997">
        <v>20</v>
      </c>
      <c r="I997">
        <v>12</v>
      </c>
      <c r="K997">
        <v>42</v>
      </c>
      <c r="L997">
        <v>2.3</v>
      </c>
      <c r="N997">
        <v>2.5</v>
      </c>
      <c r="O997">
        <v>3.5</v>
      </c>
      <c r="P997">
        <v>5</v>
      </c>
      <c r="R997">
        <v>0.5</v>
      </c>
      <c r="S997">
        <v>1.4</v>
      </c>
      <c r="T997">
        <v>228</v>
      </c>
      <c r="U997">
        <v>476</v>
      </c>
      <c r="V997">
        <v>12826</v>
      </c>
      <c r="W997">
        <v>10</v>
      </c>
      <c r="X997" t="s">
        <v>617</v>
      </c>
    </row>
    <row r="998" spans="1:24">
      <c r="A998" t="str">
        <f>Hyperlink("https://www.diodes.com/part/view/DMP2305U","DMP2305U")</f>
        <v>DMP2305U</v>
      </c>
      <c r="B998" t="str">
        <f>Hyperlink("https://www.diodes.com/assets/Datasheets/DMP2305U.pdf","DMP2305U Datasheet")</f>
        <v>DMP2305U Datasheet</v>
      </c>
      <c r="C998" t="s">
        <v>51</v>
      </c>
      <c r="D998" t="s">
        <v>25</v>
      </c>
      <c r="E998" t="s">
        <v>26</v>
      </c>
      <c r="F998" t="s">
        <v>52</v>
      </c>
      <c r="G998" t="s">
        <v>28</v>
      </c>
      <c r="H998">
        <v>20</v>
      </c>
      <c r="I998">
        <v>8</v>
      </c>
      <c r="J998">
        <v>4.2</v>
      </c>
      <c r="L998">
        <v>1.4</v>
      </c>
      <c r="O998">
        <v>60</v>
      </c>
      <c r="P998">
        <v>90</v>
      </c>
      <c r="Q998">
        <v>113</v>
      </c>
      <c r="R998">
        <v>0.5</v>
      </c>
      <c r="S998">
        <v>0.9</v>
      </c>
      <c r="T998">
        <v>7.6</v>
      </c>
      <c r="V998">
        <v>727</v>
      </c>
      <c r="W998">
        <v>20</v>
      </c>
      <c r="X998" t="s">
        <v>32</v>
      </c>
    </row>
    <row r="999" spans="1:24">
      <c r="A999" t="str">
        <f>Hyperlink("https://www.diodes.com/part/view/DMP2305UVT","DMP2305UVT")</f>
        <v>DMP2305UVT</v>
      </c>
      <c r="B999" t="str">
        <f>Hyperlink("https://www.diodes.com/assets/Datasheets/DMP2305UVT.pdf","DMP2305UVT Datasheet")</f>
        <v>DMP2305UVT Datasheet</v>
      </c>
      <c r="C999" t="s">
        <v>51</v>
      </c>
      <c r="D999" t="s">
        <v>25</v>
      </c>
      <c r="E999" t="s">
        <v>26</v>
      </c>
      <c r="F999" t="s">
        <v>52</v>
      </c>
      <c r="G999" t="s">
        <v>28</v>
      </c>
      <c r="H999">
        <v>20</v>
      </c>
      <c r="I999">
        <v>8</v>
      </c>
      <c r="J999">
        <v>4.23</v>
      </c>
      <c r="L999">
        <v>1.64</v>
      </c>
      <c r="O999">
        <v>60</v>
      </c>
      <c r="P999">
        <v>90</v>
      </c>
      <c r="Q999">
        <v>113</v>
      </c>
      <c r="R999">
        <v>0.5</v>
      </c>
      <c r="S999">
        <v>0.9</v>
      </c>
      <c r="T999">
        <v>7.6</v>
      </c>
      <c r="V999">
        <v>727</v>
      </c>
      <c r="W999">
        <v>20</v>
      </c>
      <c r="X999" t="s">
        <v>128</v>
      </c>
    </row>
    <row r="1000" spans="1:24">
      <c r="A1000" t="str">
        <f>Hyperlink("https://www.diodes.com/part/view/DMP2541UCP9","DMP2541UCP9")</f>
        <v>DMP2541UCP9</v>
      </c>
      <c r="B1000" t="str">
        <f>Hyperlink("https://www.diodes.com/assets/Datasheets/DMP2541UCP9.pdf","DMP2541UCP9 Datasheet")</f>
        <v>DMP2541UCP9 Datasheet</v>
      </c>
      <c r="C1000" t="s">
        <v>820</v>
      </c>
      <c r="D1000" t="s">
        <v>28</v>
      </c>
      <c r="E1000" t="s">
        <v>26</v>
      </c>
      <c r="F1000" t="s">
        <v>52</v>
      </c>
      <c r="G1000" t="s">
        <v>25</v>
      </c>
      <c r="H1000">
        <v>25</v>
      </c>
      <c r="I1000">
        <v>6</v>
      </c>
      <c r="J1000">
        <v>5.2</v>
      </c>
      <c r="L1000">
        <v>1.67</v>
      </c>
      <c r="O1000">
        <v>40</v>
      </c>
      <c r="P1000">
        <v>50</v>
      </c>
      <c r="Q1000">
        <v>60</v>
      </c>
      <c r="R1000">
        <v>0.4</v>
      </c>
      <c r="S1000">
        <v>1.1</v>
      </c>
      <c r="T1000">
        <v>4.7</v>
      </c>
      <c r="V1000">
        <v>566</v>
      </c>
      <c r="W1000">
        <v>10</v>
      </c>
      <c r="X1000" t="s">
        <v>811</v>
      </c>
    </row>
    <row r="1001" spans="1:24">
      <c r="A1001" t="str">
        <f>Hyperlink("https://www.diodes.com/part/view/DMP25H18DLFDE","DMP25H18DLFDE")</f>
        <v>DMP25H18DLFDE</v>
      </c>
      <c r="B1001" t="str">
        <f>Hyperlink("https://www.diodes.com/assets/Datasheets/DMP25H18DLFDE.pdf","DMP25H18DLFDE Datasheet")</f>
        <v>DMP25H18DLFDE Datasheet</v>
      </c>
      <c r="C1001" t="s">
        <v>51</v>
      </c>
      <c r="D1001" t="s">
        <v>25</v>
      </c>
      <c r="E1001" t="s">
        <v>26</v>
      </c>
      <c r="F1001" t="s">
        <v>52</v>
      </c>
      <c r="G1001" t="s">
        <v>28</v>
      </c>
      <c r="H1001">
        <v>250</v>
      </c>
      <c r="I1001">
        <v>40</v>
      </c>
      <c r="J1001">
        <v>0.26</v>
      </c>
      <c r="L1001">
        <v>1.4</v>
      </c>
      <c r="N1001">
        <v>14000</v>
      </c>
      <c r="O1001" t="s">
        <v>821</v>
      </c>
      <c r="S1001">
        <v>2.5</v>
      </c>
      <c r="U1001">
        <v>2.8</v>
      </c>
      <c r="V1001">
        <v>81</v>
      </c>
      <c r="W1001">
        <v>25</v>
      </c>
      <c r="X1001" t="s">
        <v>567</v>
      </c>
    </row>
    <row r="1002" spans="1:24">
      <c r="A1002" t="str">
        <f>Hyperlink("https://www.diodes.com/part/view/DMP26M1UFG","DMP26M1UFG")</f>
        <v>DMP26M1UFG</v>
      </c>
      <c r="B1002" t="str">
        <f>Hyperlink("https://www.diodes.com/assets/Datasheets/DMP26M1UFG.pdf","DMP26M1UFG Datasheet")</f>
        <v>DMP26M1UFG Datasheet</v>
      </c>
      <c r="C1002" t="s">
        <v>822</v>
      </c>
      <c r="D1002" t="s">
        <v>28</v>
      </c>
      <c r="E1002" t="s">
        <v>26</v>
      </c>
      <c r="F1002" t="s">
        <v>52</v>
      </c>
      <c r="G1002" t="s">
        <v>28</v>
      </c>
      <c r="H1002">
        <v>20</v>
      </c>
      <c r="I1002">
        <v>10</v>
      </c>
      <c r="K1002">
        <v>71</v>
      </c>
      <c r="L1002">
        <v>3</v>
      </c>
      <c r="O1002">
        <v>5.5</v>
      </c>
      <c r="P1002">
        <v>7.5</v>
      </c>
      <c r="Q1002">
        <v>12</v>
      </c>
      <c r="R1002">
        <v>0.4</v>
      </c>
      <c r="S1002">
        <v>1</v>
      </c>
      <c r="T1002">
        <v>75</v>
      </c>
      <c r="U1002">
        <v>164</v>
      </c>
      <c r="V1002">
        <v>5392</v>
      </c>
      <c r="W1002">
        <v>10</v>
      </c>
      <c r="X1002" t="s">
        <v>529</v>
      </c>
    </row>
    <row r="1003" spans="1:24">
      <c r="A1003" t="str">
        <f>Hyperlink("https://www.diodes.com/part/view/DMP26M1UPS","DMP26M1UPS")</f>
        <v>DMP26M1UPS</v>
      </c>
      <c r="B1003" t="str">
        <f>Hyperlink("https://www.diodes.com/assets/Datasheets/DMP26M1UPS.pdf","DMP26M1UPS Datasheet")</f>
        <v>DMP26M1UPS Datasheet</v>
      </c>
      <c r="C1003" t="s">
        <v>497</v>
      </c>
      <c r="D1003" t="s">
        <v>28</v>
      </c>
      <c r="E1003" t="s">
        <v>26</v>
      </c>
      <c r="F1003" t="s">
        <v>52</v>
      </c>
      <c r="G1003" t="s">
        <v>28</v>
      </c>
      <c r="H1003">
        <v>20</v>
      </c>
      <c r="I1003">
        <v>10</v>
      </c>
      <c r="K1003">
        <v>90</v>
      </c>
      <c r="L1003">
        <v>2.76</v>
      </c>
      <c r="O1003">
        <v>6</v>
      </c>
      <c r="P1003">
        <v>8</v>
      </c>
      <c r="R1003">
        <v>0.4</v>
      </c>
      <c r="S1003">
        <v>1</v>
      </c>
      <c r="T1003">
        <v>75</v>
      </c>
      <c r="U1003">
        <v>164</v>
      </c>
      <c r="V1003">
        <v>5392</v>
      </c>
      <c r="W1003">
        <v>10</v>
      </c>
      <c r="X1003" t="s">
        <v>617</v>
      </c>
    </row>
    <row r="1004" spans="1:24">
      <c r="A1004" t="str">
        <f>Hyperlink("https://www.diodes.com/part/view/DMP26M1UPSW","DMP26M1UPSW")</f>
        <v>DMP26M1UPSW</v>
      </c>
      <c r="B1004" t="str">
        <f>Hyperlink("https://www.diodes.com/assets/Datasheets/DMP26M1UPSW.pdf","DMP26M1UPSW Datasheet")</f>
        <v>DMP26M1UPSW Datasheet</v>
      </c>
      <c r="C1004" t="s">
        <v>497</v>
      </c>
      <c r="D1004" t="s">
        <v>28</v>
      </c>
      <c r="E1004" t="s">
        <v>26</v>
      </c>
      <c r="F1004" t="s">
        <v>52</v>
      </c>
      <c r="G1004" t="s">
        <v>28</v>
      </c>
      <c r="H1004">
        <v>20</v>
      </c>
      <c r="I1004">
        <v>10</v>
      </c>
      <c r="K1004">
        <v>83</v>
      </c>
      <c r="L1004">
        <v>2.6</v>
      </c>
      <c r="O1004">
        <v>6</v>
      </c>
      <c r="P1004">
        <v>8</v>
      </c>
      <c r="R1004">
        <v>0.4</v>
      </c>
      <c r="S1004">
        <v>1</v>
      </c>
      <c r="T1004">
        <v>75</v>
      </c>
      <c r="U1004">
        <v>164</v>
      </c>
      <c r="V1004">
        <v>5392</v>
      </c>
      <c r="W1004">
        <v>10</v>
      </c>
      <c r="X1004" t="s">
        <v>757</v>
      </c>
    </row>
    <row r="1005" spans="1:24">
      <c r="A1005" t="str">
        <f>Hyperlink("https://www.diodes.com/part/view/DMP26M1UPSWQ","DMP26M1UPSWQ")</f>
        <v>DMP26M1UPSWQ</v>
      </c>
      <c r="B1005" t="str">
        <f>Hyperlink("https://www.diodes.com/assets/Datasheets/DMP26M1UPSWQ.pdf","DMP26M1UPSWQ Datasheet")</f>
        <v>DMP26M1UPSWQ Datasheet</v>
      </c>
      <c r="C1005" t="s">
        <v>817</v>
      </c>
      <c r="D1005" t="s">
        <v>25</v>
      </c>
      <c r="E1005" t="s">
        <v>33</v>
      </c>
      <c r="F1005" t="s">
        <v>52</v>
      </c>
      <c r="G1005" t="s">
        <v>28</v>
      </c>
      <c r="H1005">
        <v>20</v>
      </c>
      <c r="I1005">
        <v>10</v>
      </c>
      <c r="K1005">
        <v>83</v>
      </c>
      <c r="L1005">
        <v>2.6</v>
      </c>
      <c r="O1005">
        <v>6</v>
      </c>
      <c r="P1005">
        <v>8</v>
      </c>
      <c r="R1005">
        <v>0.4</v>
      </c>
      <c r="S1005">
        <v>1</v>
      </c>
      <c r="T1005">
        <v>75</v>
      </c>
      <c r="U1005">
        <v>164</v>
      </c>
      <c r="V1005">
        <v>5392</v>
      </c>
      <c r="W1005">
        <v>10</v>
      </c>
      <c r="X1005" t="s">
        <v>757</v>
      </c>
    </row>
    <row r="1006" spans="1:24">
      <c r="A1006" t="str">
        <f>Hyperlink("https://www.diodes.com/part/view/DMP26M7UFG","DMP26M7UFG")</f>
        <v>DMP26M7UFG</v>
      </c>
      <c r="B1006" t="str">
        <f>Hyperlink("https://www.diodes.com/assets/Datasheets/DMP26M7UFG.pdf","DMP26M7UFG Datasheet")</f>
        <v>DMP26M7UFG Datasheet</v>
      </c>
      <c r="C1006" t="s">
        <v>497</v>
      </c>
      <c r="D1006" t="s">
        <v>28</v>
      </c>
      <c r="E1006" t="s">
        <v>26</v>
      </c>
      <c r="F1006" t="s">
        <v>52</v>
      </c>
      <c r="G1006" t="s">
        <v>28</v>
      </c>
      <c r="H1006">
        <v>20</v>
      </c>
      <c r="I1006">
        <v>10</v>
      </c>
      <c r="J1006">
        <v>18</v>
      </c>
      <c r="L1006">
        <v>2.3</v>
      </c>
      <c r="O1006">
        <v>6.7</v>
      </c>
      <c r="P1006">
        <v>9</v>
      </c>
      <c r="R1006">
        <v>0.4</v>
      </c>
      <c r="S1006">
        <v>1</v>
      </c>
      <c r="T1006">
        <v>75</v>
      </c>
      <c r="U1006">
        <v>156</v>
      </c>
      <c r="V1006">
        <v>5940</v>
      </c>
      <c r="W1006">
        <v>10</v>
      </c>
      <c r="X1006" t="s">
        <v>529</v>
      </c>
    </row>
    <row r="1007" spans="1:24">
      <c r="A1007" t="str">
        <f>Hyperlink("https://www.diodes.com/part/view/DMP27M1UPSW","DMP27M1UPSW")</f>
        <v>DMP27M1UPSW</v>
      </c>
      <c r="B1007" t="str">
        <f>Hyperlink("https://www.diodes.com/assets/Datasheets/DMP27M1UPSW.pdf","DMP27M1UPSW Datasheet")</f>
        <v>DMP27M1UPSW Datasheet</v>
      </c>
      <c r="C1007" t="s">
        <v>823</v>
      </c>
      <c r="D1007" t="s">
        <v>28</v>
      </c>
      <c r="E1007" t="s">
        <v>26</v>
      </c>
      <c r="F1007" t="s">
        <v>52</v>
      </c>
      <c r="G1007" t="s">
        <v>28</v>
      </c>
      <c r="H1007">
        <v>20</v>
      </c>
      <c r="I1007">
        <v>12</v>
      </c>
      <c r="K1007">
        <v>84</v>
      </c>
      <c r="L1007">
        <v>1.95</v>
      </c>
      <c r="M1007">
        <v>3.57</v>
      </c>
      <c r="N1007">
        <v>5.5</v>
      </c>
      <c r="O1007">
        <v>7</v>
      </c>
      <c r="P1007">
        <v>9</v>
      </c>
      <c r="R1007">
        <v>0.4</v>
      </c>
      <c r="S1007">
        <v>1.3</v>
      </c>
      <c r="T1007">
        <v>55</v>
      </c>
      <c r="U1007">
        <v>123</v>
      </c>
      <c r="V1007">
        <v>4777</v>
      </c>
      <c r="W1007">
        <v>10</v>
      </c>
      <c r="X1007" t="s">
        <v>757</v>
      </c>
    </row>
    <row r="1008" spans="1:24">
      <c r="A1008" t="str">
        <f>Hyperlink("https://www.diodes.com/part/view/DMP27M1UPSWQ","DMP27M1UPSWQ")</f>
        <v>DMP27M1UPSWQ</v>
      </c>
      <c r="B1008" t="str">
        <f>Hyperlink("https://www.diodes.com/assets/Datasheets/DMP27M1UPSWQ.pdf","DMP27M1UPSWQ Datasheet")</f>
        <v>DMP27M1UPSWQ Datasheet</v>
      </c>
      <c r="C1008" t="s">
        <v>817</v>
      </c>
      <c r="D1008" t="s">
        <v>25</v>
      </c>
      <c r="E1008" t="s">
        <v>33</v>
      </c>
      <c r="F1008" t="s">
        <v>52</v>
      </c>
      <c r="G1008" t="s">
        <v>28</v>
      </c>
      <c r="H1008">
        <v>20</v>
      </c>
      <c r="I1008">
        <v>12</v>
      </c>
      <c r="K1008">
        <v>84</v>
      </c>
      <c r="L1008">
        <v>1.95</v>
      </c>
      <c r="M1008">
        <v>3.57</v>
      </c>
      <c r="N1008">
        <v>5.5</v>
      </c>
      <c r="O1008">
        <v>7</v>
      </c>
      <c r="P1008">
        <v>9</v>
      </c>
      <c r="R1008">
        <v>0.4</v>
      </c>
      <c r="S1008">
        <v>1.3</v>
      </c>
      <c r="T1008">
        <v>55</v>
      </c>
      <c r="U1008">
        <v>123</v>
      </c>
      <c r="V1008">
        <v>4777</v>
      </c>
      <c r="W1008">
        <v>10</v>
      </c>
      <c r="X1008" t="s">
        <v>757</v>
      </c>
    </row>
    <row r="1009" spans="1:24">
      <c r="A1009" t="str">
        <f>Hyperlink("https://www.diodes.com/part/view/DMP2900UDW","DMP2900UDW")</f>
        <v>DMP2900UDW</v>
      </c>
      <c r="B1009" t="str">
        <f>Hyperlink("https://www.diodes.com/assets/Datasheets/DMP2900UDW.pdf","DMP2900UDW Datasheet")</f>
        <v>DMP2900UDW Datasheet</v>
      </c>
      <c r="C1009" t="s">
        <v>80</v>
      </c>
      <c r="D1009" t="s">
        <v>28</v>
      </c>
      <c r="E1009" t="s">
        <v>26</v>
      </c>
      <c r="F1009" t="s">
        <v>78</v>
      </c>
      <c r="G1009" t="s">
        <v>25</v>
      </c>
      <c r="H1009">
        <v>20</v>
      </c>
      <c r="I1009">
        <v>6</v>
      </c>
      <c r="J1009">
        <v>0.63</v>
      </c>
      <c r="L1009">
        <v>0.46</v>
      </c>
      <c r="O1009">
        <v>750</v>
      </c>
      <c r="P1009">
        <v>1050</v>
      </c>
      <c r="Q1009">
        <v>1500</v>
      </c>
      <c r="R1009">
        <v>0.5</v>
      </c>
      <c r="S1009">
        <v>1</v>
      </c>
      <c r="T1009">
        <v>0.7</v>
      </c>
      <c r="V1009">
        <v>49</v>
      </c>
      <c r="W1009">
        <v>16</v>
      </c>
      <c r="X1009" t="s">
        <v>37</v>
      </c>
    </row>
    <row r="1010" spans="1:24">
      <c r="A1010" t="str">
        <f>Hyperlink("https://www.diodes.com/part/view/DMP2900UDWQ","DMP2900UDWQ")</f>
        <v>DMP2900UDWQ</v>
      </c>
      <c r="B1010" t="str">
        <f>Hyperlink("https://www.diodes.com/assets/Datasheets/DMP2900UDWQ.pdf","DMP2900UDWQ Datasheet")</f>
        <v>DMP2900UDWQ Datasheet</v>
      </c>
      <c r="C1010" t="s">
        <v>816</v>
      </c>
      <c r="D1010" t="s">
        <v>25</v>
      </c>
      <c r="E1010" t="s">
        <v>33</v>
      </c>
      <c r="F1010" t="s">
        <v>78</v>
      </c>
      <c r="G1010" t="s">
        <v>25</v>
      </c>
      <c r="H1010">
        <v>20</v>
      </c>
      <c r="I1010">
        <v>6</v>
      </c>
      <c r="J1010">
        <v>0.63</v>
      </c>
      <c r="L1010">
        <v>0.46</v>
      </c>
      <c r="O1010">
        <v>750</v>
      </c>
      <c r="P1010">
        <v>1050</v>
      </c>
      <c r="Q1010">
        <v>1500</v>
      </c>
      <c r="R1010">
        <v>0.5</v>
      </c>
      <c r="S1010">
        <v>1</v>
      </c>
      <c r="T1010">
        <v>0.7</v>
      </c>
      <c r="V1010">
        <v>49</v>
      </c>
      <c r="W1010">
        <v>16</v>
      </c>
      <c r="X1010" t="s">
        <v>37</v>
      </c>
    </row>
    <row r="1011" spans="1:24">
      <c r="A1011" t="str">
        <f>Hyperlink("https://www.diodes.com/part/view/DMP2900UFB","DMP2900UFB")</f>
        <v>DMP2900UFB</v>
      </c>
      <c r="B1011" t="str">
        <f>Hyperlink("https://www.diodes.com/assets/Datasheets/DMP2900UFB.pdf","DMP2900UFB Datasheet")</f>
        <v>DMP2900UFB Datasheet</v>
      </c>
      <c r="C1011" t="s">
        <v>51</v>
      </c>
      <c r="D1011" t="s">
        <v>28</v>
      </c>
      <c r="E1011" t="s">
        <v>26</v>
      </c>
      <c r="F1011" t="s">
        <v>52</v>
      </c>
      <c r="G1011" t="s">
        <v>25</v>
      </c>
      <c r="H1011">
        <v>20</v>
      </c>
      <c r="I1011">
        <v>6</v>
      </c>
      <c r="J1011">
        <v>0.99</v>
      </c>
      <c r="L1011">
        <v>1.1</v>
      </c>
      <c r="O1011">
        <v>750</v>
      </c>
      <c r="P1011">
        <v>1050</v>
      </c>
      <c r="Q1011">
        <v>1500</v>
      </c>
      <c r="R1011">
        <v>0.5</v>
      </c>
      <c r="S1011">
        <v>1</v>
      </c>
      <c r="T1011">
        <v>0.7</v>
      </c>
      <c r="V1011">
        <v>49</v>
      </c>
      <c r="W1011">
        <v>16</v>
      </c>
      <c r="X1011" t="s">
        <v>592</v>
      </c>
    </row>
    <row r="1012" spans="1:24">
      <c r="A1012" t="str">
        <f>Hyperlink("https://www.diodes.com/part/view/DMP2900UFBQ","DMP2900UFBQ")</f>
        <v>DMP2900UFBQ</v>
      </c>
      <c r="B1012" t="str">
        <f>Hyperlink("https://www.diodes.com/assets/Datasheets/DMP2900UFBQ.pdf","DMP2900UFBQ Datasheet")</f>
        <v>DMP2900UFBQ Datasheet</v>
      </c>
      <c r="C1012" t="s">
        <v>51</v>
      </c>
      <c r="D1012" t="s">
        <v>25</v>
      </c>
      <c r="E1012" t="s">
        <v>33</v>
      </c>
      <c r="F1012" t="s">
        <v>52</v>
      </c>
      <c r="G1012" t="s">
        <v>25</v>
      </c>
      <c r="H1012">
        <v>20</v>
      </c>
      <c r="I1012">
        <v>6</v>
      </c>
      <c r="J1012">
        <v>0.99</v>
      </c>
      <c r="L1012">
        <v>1.1</v>
      </c>
      <c r="O1012">
        <v>750</v>
      </c>
      <c r="P1012">
        <v>1050</v>
      </c>
      <c r="Q1012">
        <v>1500</v>
      </c>
      <c r="R1012">
        <v>0.5</v>
      </c>
      <c r="S1012">
        <v>1</v>
      </c>
      <c r="T1012">
        <v>0.7</v>
      </c>
      <c r="V1012">
        <v>49</v>
      </c>
      <c r="W1012">
        <v>16</v>
      </c>
      <c r="X1012" t="s">
        <v>592</v>
      </c>
    </row>
    <row r="1013" spans="1:24">
      <c r="A1013" t="str">
        <f>Hyperlink("https://www.diodes.com/part/view/DMP2900UT","DMP2900UT")</f>
        <v>DMP2900UT</v>
      </c>
      <c r="B1013" t="str">
        <f>Hyperlink("https://www.diodes.com/assets/Datasheets/DMP2900UT.pdf","DMP2900UT Datasheet")</f>
        <v>DMP2900UT Datasheet</v>
      </c>
      <c r="C1013" t="s">
        <v>51</v>
      </c>
      <c r="D1013" t="s">
        <v>28</v>
      </c>
      <c r="E1013" t="s">
        <v>26</v>
      </c>
      <c r="F1013" t="s">
        <v>52</v>
      </c>
      <c r="G1013" t="s">
        <v>25</v>
      </c>
      <c r="H1013">
        <v>20</v>
      </c>
      <c r="I1013">
        <v>6</v>
      </c>
      <c r="J1013">
        <v>0.5</v>
      </c>
      <c r="L1013">
        <v>0.32</v>
      </c>
      <c r="O1013">
        <v>700</v>
      </c>
      <c r="P1013">
        <v>900</v>
      </c>
      <c r="Q1013">
        <v>1300</v>
      </c>
      <c r="R1013">
        <v>0.5</v>
      </c>
      <c r="S1013">
        <v>1</v>
      </c>
      <c r="T1013">
        <v>0.7</v>
      </c>
      <c r="V1013">
        <v>49</v>
      </c>
      <c r="W1013">
        <v>16</v>
      </c>
      <c r="X1013" t="s">
        <v>41</v>
      </c>
    </row>
    <row r="1014" spans="1:24">
      <c r="A1014" t="str">
        <f>Hyperlink("https://www.diodes.com/part/view/DMP2900UTQ","DMP2900UTQ")</f>
        <v>DMP2900UTQ</v>
      </c>
      <c r="B1014" t="str">
        <f>Hyperlink("https://www.diodes.com/assets/Datasheets/DMP2900UTQ.pdf","DMP2900UTQ Datasheet")</f>
        <v>DMP2900UTQ Datasheet</v>
      </c>
      <c r="C1014" t="s">
        <v>777</v>
      </c>
      <c r="D1014" t="s">
        <v>25</v>
      </c>
      <c r="E1014" t="s">
        <v>33</v>
      </c>
      <c r="F1014" t="s">
        <v>52</v>
      </c>
      <c r="G1014" t="s">
        <v>25</v>
      </c>
      <c r="H1014">
        <v>20</v>
      </c>
      <c r="I1014">
        <v>6</v>
      </c>
      <c r="J1014">
        <v>0.5</v>
      </c>
      <c r="L1014">
        <v>0.32</v>
      </c>
      <c r="O1014">
        <v>700</v>
      </c>
      <c r="P1014">
        <v>900</v>
      </c>
      <c r="Q1014">
        <v>1300</v>
      </c>
      <c r="R1014">
        <v>0.5</v>
      </c>
      <c r="S1014">
        <v>1</v>
      </c>
      <c r="T1014">
        <v>0.7</v>
      </c>
      <c r="V1014">
        <v>49</v>
      </c>
      <c r="W1014">
        <v>16</v>
      </c>
      <c r="X1014" t="s">
        <v>41</v>
      </c>
    </row>
    <row r="1015" spans="1:24">
      <c r="A1015" t="str">
        <f>Hyperlink("https://www.diodes.com/part/view/DMP2900UV","DMP2900UV")</f>
        <v>DMP2900UV</v>
      </c>
      <c r="B1015" t="str">
        <f>Hyperlink("https://www.diodes.com/assets/Datasheets/DMP2900UV.pdf","DMP2900UV Datasheet")</f>
        <v>DMP2900UV Datasheet</v>
      </c>
      <c r="C1015" t="s">
        <v>80</v>
      </c>
      <c r="D1015" t="s">
        <v>28</v>
      </c>
      <c r="E1015" t="s">
        <v>26</v>
      </c>
      <c r="F1015" t="s">
        <v>78</v>
      </c>
      <c r="G1015" t="s">
        <v>25</v>
      </c>
      <c r="H1015">
        <v>20</v>
      </c>
      <c r="I1015">
        <v>6</v>
      </c>
      <c r="J1015">
        <v>0.85</v>
      </c>
      <c r="L1015">
        <v>0.8</v>
      </c>
      <c r="O1015">
        <v>750</v>
      </c>
      <c r="P1015">
        <v>1050</v>
      </c>
      <c r="Q1015">
        <v>1500</v>
      </c>
      <c r="R1015">
        <v>0.5</v>
      </c>
      <c r="S1015">
        <v>1</v>
      </c>
      <c r="T1015">
        <v>0.7</v>
      </c>
      <c r="V1015">
        <v>49</v>
      </c>
      <c r="W1015">
        <v>16</v>
      </c>
      <c r="X1015" t="s">
        <v>43</v>
      </c>
    </row>
    <row r="1016" spans="1:24">
      <c r="A1016" t="str">
        <f>Hyperlink("https://www.diodes.com/part/view/DMP2900UVQ","DMP2900UVQ")</f>
        <v>DMP2900UVQ</v>
      </c>
      <c r="B1016" t="str">
        <f>Hyperlink("https://www.diodes.com/assets/Datasheets/DMP2900UVQ.pdf","DMP2900UVQ Datasheet")</f>
        <v>DMP2900UVQ Datasheet</v>
      </c>
      <c r="C1016" t="s">
        <v>80</v>
      </c>
      <c r="D1016" t="s">
        <v>25</v>
      </c>
      <c r="E1016" t="s">
        <v>33</v>
      </c>
      <c r="F1016" t="s">
        <v>78</v>
      </c>
      <c r="G1016" t="s">
        <v>25</v>
      </c>
      <c r="H1016">
        <v>20</v>
      </c>
      <c r="I1016">
        <v>6</v>
      </c>
      <c r="J1016">
        <v>0.85</v>
      </c>
      <c r="L1016">
        <v>0.8</v>
      </c>
      <c r="O1016">
        <v>750</v>
      </c>
      <c r="P1016">
        <v>1050</v>
      </c>
      <c r="Q1016">
        <v>1500</v>
      </c>
      <c r="R1016">
        <v>0.5</v>
      </c>
      <c r="S1016">
        <v>1</v>
      </c>
      <c r="T1016">
        <v>0.7</v>
      </c>
      <c r="V1016">
        <v>49</v>
      </c>
      <c r="W1016">
        <v>16</v>
      </c>
      <c r="X1016" t="s">
        <v>43</v>
      </c>
    </row>
    <row r="1017" spans="1:24">
      <c r="A1017" t="str">
        <f>Hyperlink("https://www.diodes.com/part/view/DMP2900UW","DMP2900UW")</f>
        <v>DMP2900UW</v>
      </c>
      <c r="B1017" t="str">
        <f>Hyperlink("https://www.diodes.com/assets/Datasheets/DMP2900UW.pdf","DMP2900UW Datasheet")</f>
        <v>DMP2900UW Datasheet</v>
      </c>
      <c r="C1017" t="s">
        <v>51</v>
      </c>
      <c r="D1017" t="s">
        <v>28</v>
      </c>
      <c r="E1017" t="s">
        <v>26</v>
      </c>
      <c r="F1017" t="s">
        <v>52</v>
      </c>
      <c r="G1017" t="s">
        <v>25</v>
      </c>
      <c r="H1017">
        <v>20</v>
      </c>
      <c r="I1017">
        <v>6</v>
      </c>
      <c r="J1017">
        <v>0.6</v>
      </c>
      <c r="L1017">
        <v>0.5</v>
      </c>
      <c r="O1017">
        <v>750</v>
      </c>
      <c r="P1017">
        <v>1050</v>
      </c>
      <c r="Q1017">
        <v>1500</v>
      </c>
      <c r="R1017">
        <v>0.5</v>
      </c>
      <c r="S1017">
        <v>1</v>
      </c>
      <c r="T1017">
        <v>0.7</v>
      </c>
      <c r="V1017">
        <v>49</v>
      </c>
      <c r="W1017">
        <v>16</v>
      </c>
      <c r="X1017" t="s">
        <v>60</v>
      </c>
    </row>
    <row r="1018" spans="1:24">
      <c r="A1018" t="str">
        <f>Hyperlink("https://www.diodes.com/part/view/DMP2900UWQ","DMP2900UWQ")</f>
        <v>DMP2900UWQ</v>
      </c>
      <c r="B1018" t="str">
        <f>Hyperlink("https://www.diodes.com/assets/Datasheets/DMP2900UWQ.pdf","DMP2900UWQ Datasheet")</f>
        <v>DMP2900UWQ Datasheet</v>
      </c>
      <c r="C1018" t="s">
        <v>777</v>
      </c>
      <c r="D1018" t="s">
        <v>25</v>
      </c>
      <c r="E1018" t="s">
        <v>33</v>
      </c>
      <c r="F1018" t="s">
        <v>52</v>
      </c>
      <c r="G1018" t="s">
        <v>25</v>
      </c>
      <c r="H1018">
        <v>20</v>
      </c>
      <c r="I1018">
        <v>6</v>
      </c>
      <c r="J1018">
        <v>0.6</v>
      </c>
      <c r="L1018">
        <v>0.5</v>
      </c>
      <c r="O1018">
        <v>750</v>
      </c>
      <c r="P1018">
        <v>1050</v>
      </c>
      <c r="Q1018">
        <v>1500</v>
      </c>
      <c r="R1018">
        <v>0.5</v>
      </c>
      <c r="S1018">
        <v>1</v>
      </c>
      <c r="T1018">
        <v>0.7</v>
      </c>
      <c r="V1018">
        <v>49</v>
      </c>
      <c r="W1018">
        <v>16</v>
      </c>
      <c r="X1018" t="s">
        <v>60</v>
      </c>
    </row>
    <row r="1019" spans="1:24">
      <c r="A1019" t="str">
        <f>Hyperlink("https://www.diodes.com/part/view/DMP3004SSS","DMP3004SSS")</f>
        <v>DMP3004SSS</v>
      </c>
      <c r="B1019" t="str">
        <f>Hyperlink("https://www.diodes.com/assets/Datasheets/DMP3004SSS.pdf","DMP3004SSS Datasheet")</f>
        <v>DMP3004SSS Datasheet</v>
      </c>
      <c r="C1019" t="s">
        <v>51</v>
      </c>
      <c r="D1019" t="s">
        <v>28</v>
      </c>
      <c r="E1019" t="s">
        <v>26</v>
      </c>
      <c r="F1019" t="s">
        <v>52</v>
      </c>
      <c r="G1019" t="s">
        <v>25</v>
      </c>
      <c r="H1019">
        <v>30</v>
      </c>
      <c r="I1019">
        <v>20</v>
      </c>
      <c r="J1019">
        <v>16.2</v>
      </c>
      <c r="L1019">
        <v>1.6</v>
      </c>
      <c r="N1019">
        <v>4</v>
      </c>
      <c r="O1019">
        <v>6.5</v>
      </c>
      <c r="S1019">
        <v>2.5</v>
      </c>
      <c r="T1019">
        <v>73</v>
      </c>
      <c r="U1019">
        <v>156</v>
      </c>
      <c r="V1019">
        <v>7693</v>
      </c>
      <c r="W1019">
        <v>15</v>
      </c>
      <c r="X1019" t="s">
        <v>155</v>
      </c>
    </row>
    <row r="1020" spans="1:24">
      <c r="A1020" t="str">
        <f>Hyperlink("https://www.diodes.com/part/view/DMP3006LPSW","DMP3006LPSW")</f>
        <v>DMP3006LPSW</v>
      </c>
      <c r="B1020" t="str">
        <f>Hyperlink("https://www.diodes.com/assets/Datasheets/DMP3006LPSW.pdf","DMP3006LPSW Datasheet")</f>
        <v>DMP3006LPSW Datasheet</v>
      </c>
      <c r="C1020" t="s">
        <v>777</v>
      </c>
      <c r="D1020" t="s">
        <v>28</v>
      </c>
      <c r="E1020" t="s">
        <v>26</v>
      </c>
      <c r="F1020" t="s">
        <v>52</v>
      </c>
      <c r="G1020" t="s">
        <v>25</v>
      </c>
      <c r="H1020">
        <v>30</v>
      </c>
      <c r="I1020">
        <v>20</v>
      </c>
      <c r="J1020">
        <v>15</v>
      </c>
      <c r="K1020">
        <v>92</v>
      </c>
      <c r="L1020">
        <v>1.6</v>
      </c>
      <c r="N1020">
        <v>7.5</v>
      </c>
      <c r="O1020">
        <v>11</v>
      </c>
      <c r="R1020">
        <v>1.1</v>
      </c>
      <c r="S1020">
        <v>2.1</v>
      </c>
      <c r="T1020">
        <v>51</v>
      </c>
      <c r="U1020">
        <v>106</v>
      </c>
      <c r="V1020">
        <v>5639</v>
      </c>
      <c r="W1020">
        <v>15</v>
      </c>
      <c r="X1020" t="s">
        <v>757</v>
      </c>
    </row>
    <row r="1021" spans="1:24">
      <c r="A1021" t="str">
        <f>Hyperlink("https://www.diodes.com/part/view/DMP3006LPSWQ","DMP3006LPSWQ")</f>
        <v>DMP3006LPSWQ</v>
      </c>
      <c r="B1021" t="str">
        <f>Hyperlink("https://www.diodes.com/assets/Datasheets/DMP3006LPSWQ.pdf","DMP3006LPSWQ Datasheet")</f>
        <v>DMP3006LPSWQ Datasheet</v>
      </c>
      <c r="C1021" t="s">
        <v>777</v>
      </c>
      <c r="D1021" t="s">
        <v>25</v>
      </c>
      <c r="E1021" t="s">
        <v>33</v>
      </c>
      <c r="F1021" t="s">
        <v>52</v>
      </c>
      <c r="G1021" t="s">
        <v>25</v>
      </c>
      <c r="H1021">
        <v>30</v>
      </c>
      <c r="I1021">
        <v>20</v>
      </c>
      <c r="J1021">
        <v>15</v>
      </c>
      <c r="K1021">
        <v>92</v>
      </c>
      <c r="L1021">
        <v>1.6</v>
      </c>
      <c r="N1021">
        <v>7.5</v>
      </c>
      <c r="O1021">
        <v>11</v>
      </c>
      <c r="R1021">
        <v>1.1</v>
      </c>
      <c r="S1021">
        <v>2.1</v>
      </c>
      <c r="T1021">
        <v>51</v>
      </c>
      <c r="U1021">
        <v>106</v>
      </c>
      <c r="V1021">
        <v>5639</v>
      </c>
      <c r="W1021">
        <v>15</v>
      </c>
      <c r="X1021" t="s">
        <v>757</v>
      </c>
    </row>
    <row r="1022" spans="1:24">
      <c r="A1022" t="str">
        <f>Hyperlink("https://www.diodes.com/part/view/DMP3007LK3","DMP3007LK3")</f>
        <v>DMP3007LK3</v>
      </c>
      <c r="B1022" t="str">
        <f>Hyperlink("https://www.diodes.com/assets/Datasheets/DMP3007LK3.pdf","DMP3007LK3 Datasheet")</f>
        <v>DMP3007LK3 Datasheet</v>
      </c>
      <c r="C1022" t="s">
        <v>51</v>
      </c>
      <c r="D1022" t="s">
        <v>28</v>
      </c>
      <c r="E1022" t="s">
        <v>26</v>
      </c>
      <c r="F1022" t="s">
        <v>52</v>
      </c>
      <c r="G1022" t="s">
        <v>25</v>
      </c>
      <c r="H1022">
        <v>30</v>
      </c>
      <c r="I1022">
        <v>25</v>
      </c>
      <c r="J1022">
        <v>18.5</v>
      </c>
      <c r="L1022">
        <v>3</v>
      </c>
      <c r="N1022">
        <v>7</v>
      </c>
      <c r="O1022">
        <v>10</v>
      </c>
      <c r="S1022">
        <v>2.8</v>
      </c>
      <c r="T1022">
        <v>31.2</v>
      </c>
      <c r="U1022">
        <v>64.2</v>
      </c>
      <c r="V1022">
        <v>2826</v>
      </c>
      <c r="W1022">
        <v>15</v>
      </c>
      <c r="X1022" t="s">
        <v>507</v>
      </c>
    </row>
    <row r="1023" spans="1:24">
      <c r="A1023" t="str">
        <f>Hyperlink("https://www.diodes.com/part/view/DMP3007LK3Q","DMP3007LK3Q")</f>
        <v>DMP3007LK3Q</v>
      </c>
      <c r="B1023" t="str">
        <f>Hyperlink("https://www.diodes.com/assets/Datasheets/DMP3007LK3Q.pdf","DMP3007LK3Q Datasheet")</f>
        <v>DMP3007LK3Q Datasheet</v>
      </c>
      <c r="C1023" t="s">
        <v>51</v>
      </c>
      <c r="D1023" t="s">
        <v>25</v>
      </c>
      <c r="E1023" t="s">
        <v>33</v>
      </c>
      <c r="F1023" t="s">
        <v>52</v>
      </c>
      <c r="G1023" t="s">
        <v>25</v>
      </c>
      <c r="H1023">
        <v>30</v>
      </c>
      <c r="I1023">
        <v>20</v>
      </c>
      <c r="J1023">
        <v>18.5</v>
      </c>
      <c r="M1023">
        <v>3</v>
      </c>
      <c r="N1023">
        <v>7</v>
      </c>
      <c r="O1023">
        <v>10</v>
      </c>
      <c r="S1023">
        <v>2.8</v>
      </c>
      <c r="T1023">
        <v>31.2</v>
      </c>
      <c r="U1023">
        <v>64.2</v>
      </c>
      <c r="V1023">
        <v>2826</v>
      </c>
      <c r="W1023">
        <v>15</v>
      </c>
      <c r="X1023" t="s">
        <v>507</v>
      </c>
    </row>
    <row r="1024" spans="1:24">
      <c r="A1024" t="str">
        <f>Hyperlink("https://www.diodes.com/part/view/DMP3007LSS","DMP3007LSS")</f>
        <v>DMP3007LSS</v>
      </c>
      <c r="B1024" t="str">
        <f>Hyperlink("https://www.diodes.com/assets/Datasheets/DMP3007LSS.pdf","DMP3007LSS Datasheet")</f>
        <v>DMP3007LSS Datasheet</v>
      </c>
      <c r="C1024" t="s">
        <v>51</v>
      </c>
      <c r="D1024" t="s">
        <v>28</v>
      </c>
      <c r="E1024" t="s">
        <v>26</v>
      </c>
      <c r="F1024" t="s">
        <v>52</v>
      </c>
      <c r="G1024" t="s">
        <v>25</v>
      </c>
      <c r="H1024">
        <v>30</v>
      </c>
      <c r="I1024">
        <v>25</v>
      </c>
      <c r="J1024">
        <v>14</v>
      </c>
      <c r="L1024">
        <v>2.1</v>
      </c>
      <c r="N1024">
        <v>7</v>
      </c>
      <c r="O1024">
        <v>10</v>
      </c>
      <c r="S1024">
        <v>2.8</v>
      </c>
      <c r="T1024">
        <v>31.2</v>
      </c>
      <c r="U1024">
        <v>64.2</v>
      </c>
      <c r="V1024">
        <v>2826</v>
      </c>
      <c r="W1024">
        <v>15</v>
      </c>
      <c r="X1024" t="s">
        <v>155</v>
      </c>
    </row>
    <row r="1025" spans="1:24">
      <c r="A1025" t="str">
        <f>Hyperlink("https://www.diodes.com/part/view/DMP3007SCG","DMP3007SCG")</f>
        <v>DMP3007SCG</v>
      </c>
      <c r="B1025" t="str">
        <f>Hyperlink("https://www.diodes.com/assets/Datasheets/DMP3007SCG.pdf","DMP3007SCG Datasheet")</f>
        <v>DMP3007SCG Datasheet</v>
      </c>
      <c r="C1025" t="s">
        <v>503</v>
      </c>
      <c r="D1025" t="s">
        <v>28</v>
      </c>
      <c r="E1025" t="s">
        <v>26</v>
      </c>
      <c r="F1025" t="s">
        <v>52</v>
      </c>
      <c r="G1025" t="s">
        <v>25</v>
      </c>
      <c r="H1025">
        <v>30</v>
      </c>
      <c r="I1025">
        <v>25</v>
      </c>
      <c r="K1025">
        <v>50</v>
      </c>
      <c r="L1025">
        <v>2.4</v>
      </c>
      <c r="N1025">
        <v>6.8</v>
      </c>
      <c r="O1025">
        <v>13</v>
      </c>
      <c r="S1025">
        <v>3</v>
      </c>
      <c r="T1025">
        <v>31.2</v>
      </c>
      <c r="U1025">
        <v>64.2</v>
      </c>
      <c r="V1025">
        <v>2826</v>
      </c>
      <c r="W1025">
        <v>15</v>
      </c>
      <c r="X1025" t="s">
        <v>824</v>
      </c>
    </row>
    <row r="1026" spans="1:24">
      <c r="A1026" t="str">
        <f>Hyperlink("https://www.diodes.com/part/view/DMP3007SCGQ","DMP3007SCGQ")</f>
        <v>DMP3007SCGQ</v>
      </c>
      <c r="B1026" t="str">
        <f>Hyperlink("https://www.diodes.com/assets/Datasheets/DMP3007SCGQ.pdf","DMP3007SCGQ Datasheet")</f>
        <v>DMP3007SCGQ Datasheet</v>
      </c>
      <c r="C1026" t="s">
        <v>503</v>
      </c>
      <c r="D1026" t="s">
        <v>25</v>
      </c>
      <c r="E1026" t="s">
        <v>33</v>
      </c>
      <c r="F1026" t="s">
        <v>52</v>
      </c>
      <c r="G1026" t="s">
        <v>25</v>
      </c>
      <c r="H1026">
        <v>30</v>
      </c>
      <c r="I1026">
        <v>25</v>
      </c>
      <c r="K1026">
        <v>50</v>
      </c>
      <c r="L1026">
        <v>2.4</v>
      </c>
      <c r="N1026">
        <v>6.8</v>
      </c>
      <c r="O1026">
        <v>13</v>
      </c>
      <c r="S1026">
        <v>3</v>
      </c>
      <c r="T1026">
        <v>31.2</v>
      </c>
      <c r="U1026">
        <v>64.2</v>
      </c>
      <c r="V1026">
        <v>2826</v>
      </c>
      <c r="W1026">
        <v>15</v>
      </c>
      <c r="X1026" t="s">
        <v>824</v>
      </c>
    </row>
    <row r="1027" spans="1:24">
      <c r="A1027" t="str">
        <f>Hyperlink("https://www.diodes.com/part/view/DMP3007SFG","DMP3007SFG")</f>
        <v>DMP3007SFG</v>
      </c>
      <c r="B1027" t="str">
        <f>Hyperlink("https://www.diodes.com/assets/Datasheets/DMP3007SFG.pdf","DMP3007SFG Datasheet")</f>
        <v>DMP3007SFG Datasheet</v>
      </c>
      <c r="C1027" t="s">
        <v>503</v>
      </c>
      <c r="D1027" t="s">
        <v>28</v>
      </c>
      <c r="E1027" t="s">
        <v>26</v>
      </c>
      <c r="F1027" t="s">
        <v>52</v>
      </c>
      <c r="G1027" t="s">
        <v>25</v>
      </c>
      <c r="H1027">
        <v>30</v>
      </c>
      <c r="I1027">
        <v>25</v>
      </c>
      <c r="K1027">
        <v>70</v>
      </c>
      <c r="L1027">
        <v>2.8</v>
      </c>
      <c r="N1027">
        <v>6</v>
      </c>
      <c r="O1027">
        <v>13</v>
      </c>
      <c r="S1027">
        <v>3</v>
      </c>
      <c r="T1027">
        <v>31.2</v>
      </c>
      <c r="U1027">
        <v>64.2</v>
      </c>
      <c r="V1027">
        <v>2826</v>
      </c>
      <c r="W1027">
        <v>15</v>
      </c>
      <c r="X1027" t="s">
        <v>529</v>
      </c>
    </row>
    <row r="1028" spans="1:24">
      <c r="A1028" t="str">
        <f>Hyperlink("https://www.diodes.com/part/view/DMP3007SPS","DMP3007SPS")</f>
        <v>DMP3007SPS</v>
      </c>
      <c r="B1028" t="str">
        <f>Hyperlink("https://www.diodes.com/assets/Datasheets/DMP3007SPS.pdf","DMP3007SPS Datasheet")</f>
        <v>DMP3007SPS Datasheet</v>
      </c>
      <c r="C1028" t="s">
        <v>51</v>
      </c>
      <c r="D1028" t="s">
        <v>28</v>
      </c>
      <c r="E1028" t="s">
        <v>26</v>
      </c>
      <c r="F1028" t="s">
        <v>52</v>
      </c>
      <c r="G1028" t="s">
        <v>25</v>
      </c>
      <c r="H1028">
        <v>30</v>
      </c>
      <c r="I1028">
        <v>25</v>
      </c>
      <c r="K1028">
        <v>90</v>
      </c>
      <c r="L1028">
        <v>2.7</v>
      </c>
      <c r="N1028">
        <v>7</v>
      </c>
      <c r="O1028">
        <v>16</v>
      </c>
      <c r="S1028">
        <v>3</v>
      </c>
      <c r="T1028">
        <v>31.2</v>
      </c>
      <c r="U1028">
        <v>64.2</v>
      </c>
      <c r="V1028">
        <v>2826</v>
      </c>
      <c r="W1028">
        <v>15</v>
      </c>
      <c r="X1028" t="s">
        <v>617</v>
      </c>
    </row>
    <row r="1029" spans="1:24">
      <c r="A1029" t="str">
        <f>Hyperlink("https://www.diodes.com/part/view/DMP3007SPSQ","DMP3007SPSQ")</f>
        <v>DMP3007SPSQ</v>
      </c>
      <c r="B1029" t="str">
        <f>Hyperlink("https://www.diodes.com/assets/Datasheets/DMP3007SPSQ.pdf","DMP3007SPSQ Datasheet")</f>
        <v>DMP3007SPSQ Datasheet</v>
      </c>
      <c r="C1029" t="s">
        <v>51</v>
      </c>
      <c r="D1029" t="s">
        <v>25</v>
      </c>
      <c r="E1029" t="s">
        <v>33</v>
      </c>
      <c r="F1029" t="s">
        <v>52</v>
      </c>
      <c r="G1029" t="s">
        <v>25</v>
      </c>
      <c r="H1029">
        <v>30</v>
      </c>
      <c r="I1029">
        <v>25</v>
      </c>
      <c r="K1029">
        <v>90</v>
      </c>
      <c r="L1029">
        <v>2.7</v>
      </c>
      <c r="M1029">
        <v>80</v>
      </c>
      <c r="N1029">
        <v>7</v>
      </c>
      <c r="O1029">
        <v>16</v>
      </c>
      <c r="S1029">
        <v>3</v>
      </c>
      <c r="T1029">
        <v>31.2</v>
      </c>
      <c r="U1029">
        <v>64.2</v>
      </c>
      <c r="V1029">
        <v>2826</v>
      </c>
      <c r="W1029">
        <v>15</v>
      </c>
      <c r="X1029" t="s">
        <v>617</v>
      </c>
    </row>
    <row r="1030" spans="1:24">
      <c r="A1030" t="str">
        <f>Hyperlink("https://www.diodes.com/part/view/DMP3008SFGQ","DMP3008SFGQ")</f>
        <v>DMP3008SFGQ</v>
      </c>
      <c r="B1030" t="str">
        <f>Hyperlink("https://www.diodes.com/assets/Datasheets/DMP3008SFGQ.pdf","DMP3008SFGQ Datasheet")</f>
        <v>DMP3008SFGQ Datasheet</v>
      </c>
      <c r="C1030" t="s">
        <v>503</v>
      </c>
      <c r="D1030" t="s">
        <v>25</v>
      </c>
      <c r="E1030" t="s">
        <v>33</v>
      </c>
      <c r="F1030" t="s">
        <v>52</v>
      </c>
      <c r="G1030" t="s">
        <v>28</v>
      </c>
      <c r="H1030">
        <v>30</v>
      </c>
      <c r="I1030">
        <v>20</v>
      </c>
      <c r="J1030">
        <v>8.6</v>
      </c>
      <c r="L1030">
        <v>2.2</v>
      </c>
      <c r="N1030">
        <v>17</v>
      </c>
      <c r="O1030">
        <v>25</v>
      </c>
      <c r="S1030">
        <v>2.1</v>
      </c>
      <c r="T1030">
        <v>23</v>
      </c>
      <c r="U1030">
        <v>47</v>
      </c>
      <c r="V1030">
        <v>2230</v>
      </c>
      <c r="W1030">
        <v>15</v>
      </c>
      <c r="X1030" t="s">
        <v>529</v>
      </c>
    </row>
    <row r="1031" spans="1:24">
      <c r="A1031" t="str">
        <f>Hyperlink("https://www.diodes.com/part/view/DMP3011SFK","DMP3011SFK")</f>
        <v>DMP3011SFK</v>
      </c>
      <c r="B1031" t="str">
        <f>Hyperlink("https://www.diodes.com/assets/Datasheets/DMP3011SFK.pdf","DMP3011SFK Datasheet")</f>
        <v>DMP3011SFK Datasheet</v>
      </c>
      <c r="C1031" t="s">
        <v>777</v>
      </c>
      <c r="D1031" t="s">
        <v>28</v>
      </c>
      <c r="E1031" t="s">
        <v>26</v>
      </c>
      <c r="F1031" t="s">
        <v>52</v>
      </c>
      <c r="G1031" t="s">
        <v>25</v>
      </c>
      <c r="H1031">
        <v>30</v>
      </c>
      <c r="I1031">
        <v>25</v>
      </c>
      <c r="J1031">
        <v>10.7</v>
      </c>
      <c r="L1031">
        <v>2.07</v>
      </c>
      <c r="N1031">
        <v>12</v>
      </c>
      <c r="O1031">
        <v>25</v>
      </c>
      <c r="R1031">
        <v>1</v>
      </c>
      <c r="S1031">
        <v>2.5</v>
      </c>
      <c r="T1031" t="s">
        <v>825</v>
      </c>
      <c r="U1031">
        <v>46</v>
      </c>
      <c r="V1031">
        <v>2380</v>
      </c>
      <c r="W1031">
        <v>15</v>
      </c>
      <c r="X1031" t="s">
        <v>794</v>
      </c>
    </row>
    <row r="1032" spans="1:24">
      <c r="A1032" t="str">
        <f>Hyperlink("https://www.diodes.com/part/view/DMP3011SFVW","DMP3011SFVW")</f>
        <v>DMP3011SFVW</v>
      </c>
      <c r="B1032" t="str">
        <f>Hyperlink("https://www.diodes.com/assets/Datasheets/DMP3011SFVW.pdf","DMP3011SFVW Datasheet")</f>
        <v>DMP3011SFVW Datasheet</v>
      </c>
      <c r="C1032" t="s">
        <v>503</v>
      </c>
      <c r="D1032" t="s">
        <v>28</v>
      </c>
      <c r="E1032" t="s">
        <v>26</v>
      </c>
      <c r="F1032" t="s">
        <v>52</v>
      </c>
      <c r="G1032" t="s">
        <v>25</v>
      </c>
      <c r="H1032">
        <v>30</v>
      </c>
      <c r="I1032">
        <v>25</v>
      </c>
      <c r="J1032">
        <v>19.8</v>
      </c>
      <c r="K1032">
        <v>50</v>
      </c>
      <c r="L1032">
        <v>2.25</v>
      </c>
      <c r="N1032">
        <v>10</v>
      </c>
      <c r="O1032">
        <v>18</v>
      </c>
      <c r="S1032">
        <v>3</v>
      </c>
      <c r="T1032" t="s">
        <v>826</v>
      </c>
      <c r="U1032">
        <v>46</v>
      </c>
      <c r="V1032">
        <v>2380</v>
      </c>
      <c r="W1032">
        <v>15</v>
      </c>
      <c r="X1032" t="s">
        <v>655</v>
      </c>
    </row>
    <row r="1033" spans="1:24">
      <c r="A1033" t="str">
        <f>Hyperlink("https://www.diodes.com/part/view/DMP3011SFVWQ","DMP3011SFVWQ")</f>
        <v>DMP3011SFVWQ</v>
      </c>
      <c r="B1033" t="str">
        <f>Hyperlink("https://www.diodes.com/assets/Datasheets/DMP3011SFVWQ.pdf","DMP3011SFVWQ Datasheet")</f>
        <v>DMP3011SFVWQ Datasheet</v>
      </c>
      <c r="C1033" t="s">
        <v>503</v>
      </c>
      <c r="D1033" t="s">
        <v>25</v>
      </c>
      <c r="E1033" t="s">
        <v>33</v>
      </c>
      <c r="F1033" t="s">
        <v>52</v>
      </c>
      <c r="G1033" t="s">
        <v>25</v>
      </c>
      <c r="H1033">
        <v>30</v>
      </c>
      <c r="I1033">
        <v>25</v>
      </c>
      <c r="J1033">
        <v>19.8</v>
      </c>
      <c r="K1033">
        <v>50</v>
      </c>
      <c r="L1033">
        <v>2.25</v>
      </c>
      <c r="N1033">
        <v>10</v>
      </c>
      <c r="O1033">
        <v>18</v>
      </c>
      <c r="R1033">
        <v>1</v>
      </c>
      <c r="S1033">
        <v>3</v>
      </c>
      <c r="T1033" t="s">
        <v>826</v>
      </c>
      <c r="U1033">
        <v>46</v>
      </c>
      <c r="V1033">
        <v>2380</v>
      </c>
      <c r="W1033">
        <v>15</v>
      </c>
      <c r="X1033" t="s">
        <v>655</v>
      </c>
    </row>
    <row r="1034" spans="1:24">
      <c r="A1034" t="str">
        <f>Hyperlink("https://www.diodes.com/part/view/DMP3011SPDW","DMP3011SPDW")</f>
        <v>DMP3011SPDW</v>
      </c>
      <c r="B1034" t="str">
        <f>Hyperlink("https://www.diodes.com/assets/Datasheets/DMP3011SPDW.pdf","DMP3011SPDW Datasheet")</f>
        <v>DMP3011SPDW Datasheet</v>
      </c>
      <c r="C1034" t="s">
        <v>827</v>
      </c>
      <c r="D1034" t="s">
        <v>28</v>
      </c>
      <c r="E1034" t="s">
        <v>26</v>
      </c>
      <c r="F1034" t="s">
        <v>78</v>
      </c>
      <c r="G1034" t="s">
        <v>25</v>
      </c>
      <c r="H1034">
        <v>30</v>
      </c>
      <c r="I1034">
        <v>25</v>
      </c>
      <c r="J1034">
        <v>12.1</v>
      </c>
      <c r="K1034">
        <v>38.2</v>
      </c>
      <c r="L1034">
        <v>2.9</v>
      </c>
      <c r="N1034">
        <v>13</v>
      </c>
      <c r="O1034">
        <v>20</v>
      </c>
      <c r="R1034">
        <v>1</v>
      </c>
      <c r="S1034">
        <v>3</v>
      </c>
      <c r="T1034" t="s">
        <v>828</v>
      </c>
      <c r="U1034">
        <v>46</v>
      </c>
      <c r="V1034">
        <v>2380</v>
      </c>
      <c r="W1034">
        <v>15</v>
      </c>
      <c r="X1034" t="s">
        <v>115</v>
      </c>
    </row>
    <row r="1035" spans="1:24">
      <c r="A1035" t="str">
        <f>Hyperlink("https://www.diodes.com/part/view/DMP3011SPSW","DMP3011SPSW")</f>
        <v>DMP3011SPSW</v>
      </c>
      <c r="B1035" t="str">
        <f>Hyperlink("https://www.diodes.com/assets/Datasheets/DMP3011SPSW.pdf","DMP3011SPSW Datasheet")</f>
        <v>DMP3011SPSW Datasheet</v>
      </c>
      <c r="C1035" t="s">
        <v>829</v>
      </c>
      <c r="D1035" t="s">
        <v>28</v>
      </c>
      <c r="E1035" t="s">
        <v>26</v>
      </c>
      <c r="F1035" t="s">
        <v>52</v>
      </c>
      <c r="G1035" t="s">
        <v>25</v>
      </c>
      <c r="H1035">
        <v>30</v>
      </c>
      <c r="I1035">
        <v>25</v>
      </c>
      <c r="J1035">
        <v>14</v>
      </c>
      <c r="K1035">
        <v>65</v>
      </c>
      <c r="L1035">
        <v>2.8</v>
      </c>
      <c r="N1035">
        <v>10</v>
      </c>
      <c r="O1035">
        <v>18</v>
      </c>
      <c r="R1035">
        <v>1</v>
      </c>
      <c r="S1035">
        <v>3</v>
      </c>
      <c r="T1035" t="s">
        <v>828</v>
      </c>
      <c r="U1035">
        <v>46</v>
      </c>
      <c r="V1035">
        <v>2380</v>
      </c>
      <c r="W1035">
        <v>15</v>
      </c>
      <c r="X1035" t="s">
        <v>757</v>
      </c>
    </row>
    <row r="1036" spans="1:24">
      <c r="A1036" t="str">
        <f>Hyperlink("https://www.diodes.com/part/view/DMP3011SSS","DMP3011SSS")</f>
        <v>DMP3011SSS</v>
      </c>
      <c r="B1036" t="str">
        <f>Hyperlink("https://www.diodes.com/assets/Datasheets/DMP3011SSS.pdf","DMP3011SSS Datasheet")</f>
        <v>DMP3011SSS Datasheet</v>
      </c>
      <c r="C1036" t="s">
        <v>503</v>
      </c>
      <c r="D1036" t="s">
        <v>28</v>
      </c>
      <c r="E1036" t="s">
        <v>26</v>
      </c>
      <c r="F1036" t="s">
        <v>52</v>
      </c>
      <c r="G1036" t="s">
        <v>25</v>
      </c>
      <c r="H1036">
        <v>30</v>
      </c>
      <c r="I1036">
        <v>25</v>
      </c>
      <c r="J1036">
        <v>11</v>
      </c>
      <c r="K1036">
        <v>32</v>
      </c>
      <c r="L1036">
        <v>1.8</v>
      </c>
      <c r="N1036">
        <v>10</v>
      </c>
      <c r="O1036">
        <v>18</v>
      </c>
      <c r="S1036">
        <v>3</v>
      </c>
      <c r="T1036">
        <v>25</v>
      </c>
      <c r="U1036">
        <v>46</v>
      </c>
      <c r="V1036">
        <v>2380</v>
      </c>
      <c r="W1036">
        <v>15</v>
      </c>
      <c r="X1036" t="s">
        <v>155</v>
      </c>
    </row>
    <row r="1037" spans="1:24">
      <c r="A1037" t="str">
        <f>Hyperlink("https://www.diodes.com/part/view/DMP3012LPS","DMP3012LPS")</f>
        <v>DMP3012LPS</v>
      </c>
      <c r="B1037" t="str">
        <f>Hyperlink("https://www.diodes.com/assets/Datasheets/DMP3012LPS.pdf","DMP3012LPS Datasheet")</f>
        <v>DMP3012LPS Datasheet</v>
      </c>
      <c r="C1037" t="s">
        <v>51</v>
      </c>
      <c r="D1037" t="s">
        <v>25</v>
      </c>
      <c r="E1037" t="s">
        <v>26</v>
      </c>
      <c r="F1037" t="s">
        <v>52</v>
      </c>
      <c r="G1037" t="s">
        <v>28</v>
      </c>
      <c r="H1037">
        <v>30</v>
      </c>
      <c r="I1037">
        <v>20</v>
      </c>
      <c r="J1037">
        <v>13.2</v>
      </c>
      <c r="L1037">
        <v>2.36</v>
      </c>
      <c r="N1037">
        <v>9</v>
      </c>
      <c r="O1037">
        <v>12</v>
      </c>
      <c r="S1037">
        <v>2.1</v>
      </c>
      <c r="T1037">
        <v>66</v>
      </c>
      <c r="U1037">
        <v>139</v>
      </c>
      <c r="V1037">
        <v>6807</v>
      </c>
      <c r="X1037" t="s">
        <v>617</v>
      </c>
    </row>
    <row r="1038" spans="1:24">
      <c r="A1038" t="str">
        <f>Hyperlink("https://www.diodes.com/part/view/DMP3013SFK","DMP3013SFK")</f>
        <v>DMP3013SFK</v>
      </c>
      <c r="B1038" t="str">
        <f>Hyperlink("https://www.diodes.com/assets/Datasheets/DMP3013SFK.pdf","DMP3013SFK Datasheet")</f>
        <v>DMP3013SFK Datasheet</v>
      </c>
      <c r="C1038" t="s">
        <v>51</v>
      </c>
      <c r="D1038" t="s">
        <v>28</v>
      </c>
      <c r="E1038" t="s">
        <v>26</v>
      </c>
      <c r="F1038" t="s">
        <v>52</v>
      </c>
      <c r="G1038" t="s">
        <v>25</v>
      </c>
      <c r="H1038">
        <v>30</v>
      </c>
      <c r="I1038">
        <v>25</v>
      </c>
      <c r="J1038">
        <v>10.5</v>
      </c>
      <c r="L1038">
        <v>2.1</v>
      </c>
      <c r="N1038">
        <v>14</v>
      </c>
      <c r="O1038">
        <v>25</v>
      </c>
      <c r="S1038">
        <v>3</v>
      </c>
      <c r="T1038" t="s">
        <v>830</v>
      </c>
      <c r="U1038">
        <v>33.7</v>
      </c>
      <c r="V1038">
        <v>1674</v>
      </c>
      <c r="W1038">
        <v>15</v>
      </c>
      <c r="X1038" t="s">
        <v>794</v>
      </c>
    </row>
    <row r="1039" spans="1:24">
      <c r="A1039" t="str">
        <f>Hyperlink("https://www.diodes.com/part/view/DMP3013SFV","DMP3013SFV")</f>
        <v>DMP3013SFV</v>
      </c>
      <c r="B1039" t="str">
        <f>Hyperlink("https://www.diodes.com/assets/Datasheets/DMP3013SFV.pdf","DMP3013SFV Datasheet")</f>
        <v>DMP3013SFV Datasheet</v>
      </c>
      <c r="C1039" t="s">
        <v>503</v>
      </c>
      <c r="D1039" t="s">
        <v>28</v>
      </c>
      <c r="E1039" t="s">
        <v>26</v>
      </c>
      <c r="F1039" t="s">
        <v>52</v>
      </c>
      <c r="G1039" t="s">
        <v>25</v>
      </c>
      <c r="H1039">
        <v>30</v>
      </c>
      <c r="I1039">
        <v>25</v>
      </c>
      <c r="J1039">
        <v>12</v>
      </c>
      <c r="L1039">
        <v>1.94</v>
      </c>
      <c r="N1039">
        <v>9.5</v>
      </c>
      <c r="O1039">
        <v>17</v>
      </c>
      <c r="S1039">
        <v>3</v>
      </c>
      <c r="T1039" t="s">
        <v>830</v>
      </c>
      <c r="U1039">
        <v>33.7</v>
      </c>
      <c r="V1039">
        <v>1674</v>
      </c>
      <c r="W1039">
        <v>15</v>
      </c>
      <c r="X1039" t="s">
        <v>570</v>
      </c>
    </row>
    <row r="1040" spans="1:24">
      <c r="A1040" t="str">
        <f>Hyperlink("https://www.diodes.com/part/view/DMP3017SFK","DMP3017SFK")</f>
        <v>DMP3017SFK</v>
      </c>
      <c r="B1040" t="str">
        <f>Hyperlink("https://www.diodes.com/assets/Datasheets/DMP3017SFK.pdf","DMP3017SFK Datasheet")</f>
        <v>DMP3017SFK Datasheet</v>
      </c>
      <c r="C1040" t="s">
        <v>51</v>
      </c>
      <c r="D1040" t="s">
        <v>25</v>
      </c>
      <c r="E1040" t="s">
        <v>26</v>
      </c>
      <c r="F1040" t="s">
        <v>52</v>
      </c>
      <c r="G1040" t="s">
        <v>25</v>
      </c>
      <c r="H1040">
        <v>30</v>
      </c>
      <c r="I1040">
        <v>25</v>
      </c>
      <c r="J1040">
        <v>10.4</v>
      </c>
      <c r="L1040">
        <v>2.2</v>
      </c>
      <c r="N1040">
        <v>14</v>
      </c>
      <c r="O1040">
        <v>25</v>
      </c>
      <c r="S1040">
        <v>2.5</v>
      </c>
      <c r="T1040">
        <v>21.6</v>
      </c>
      <c r="U1040">
        <v>42.7</v>
      </c>
      <c r="V1040">
        <v>2207</v>
      </c>
      <c r="X1040" t="s">
        <v>794</v>
      </c>
    </row>
    <row r="1041" spans="1:24">
      <c r="A1041" t="str">
        <f>Hyperlink("https://www.diodes.com/part/view/DMP3018SFK","DMP3018SFK")</f>
        <v>DMP3018SFK</v>
      </c>
      <c r="B1041" t="str">
        <f>Hyperlink("https://www.diodes.com/assets/Datasheets/DMP3018SFK.pdf","DMP3018SFK Datasheet")</f>
        <v>DMP3018SFK Datasheet</v>
      </c>
      <c r="C1041" t="s">
        <v>503</v>
      </c>
      <c r="D1041" t="s">
        <v>25</v>
      </c>
      <c r="E1041" t="s">
        <v>26</v>
      </c>
      <c r="F1041" t="s">
        <v>52</v>
      </c>
      <c r="G1041" t="s">
        <v>25</v>
      </c>
      <c r="H1041">
        <v>30</v>
      </c>
      <c r="I1041">
        <v>25</v>
      </c>
      <c r="J1041">
        <v>10.2</v>
      </c>
      <c r="L1041">
        <v>2.2</v>
      </c>
      <c r="N1041">
        <v>14.5</v>
      </c>
      <c r="O1041">
        <v>25.5</v>
      </c>
      <c r="S1041">
        <v>3</v>
      </c>
      <c r="T1041">
        <v>21.6</v>
      </c>
      <c r="U1041">
        <v>42.7</v>
      </c>
      <c r="V1041">
        <v>2207</v>
      </c>
      <c r="W1041">
        <v>15</v>
      </c>
      <c r="X1041" t="s">
        <v>794</v>
      </c>
    </row>
    <row r="1042" spans="1:24">
      <c r="A1042" t="str">
        <f>Hyperlink("https://www.diodes.com/part/view/DMP3018SFV","DMP3018SFV")</f>
        <v>DMP3018SFV</v>
      </c>
      <c r="B1042" t="str">
        <f>Hyperlink("https://www.diodes.com/assets/Datasheets/DMP3018SFV.pdf","DMP3018SFV Datasheet")</f>
        <v>DMP3018SFV Datasheet</v>
      </c>
      <c r="C1042" t="s">
        <v>503</v>
      </c>
      <c r="D1042" t="s">
        <v>25</v>
      </c>
      <c r="E1042" t="s">
        <v>26</v>
      </c>
      <c r="F1042" t="s">
        <v>52</v>
      </c>
      <c r="G1042" t="s">
        <v>25</v>
      </c>
      <c r="H1042">
        <v>30</v>
      </c>
      <c r="I1042">
        <v>25</v>
      </c>
      <c r="J1042">
        <v>11</v>
      </c>
      <c r="L1042">
        <v>1.9</v>
      </c>
      <c r="N1042">
        <v>12</v>
      </c>
      <c r="O1042">
        <v>21</v>
      </c>
      <c r="S1042">
        <v>3</v>
      </c>
      <c r="T1042" t="s">
        <v>831</v>
      </c>
      <c r="U1042">
        <v>51</v>
      </c>
      <c r="V1042">
        <v>2147</v>
      </c>
      <c r="W1042">
        <v>15</v>
      </c>
      <c r="X1042" t="s">
        <v>570</v>
      </c>
    </row>
    <row r="1043" spans="1:24">
      <c r="A1043" t="str">
        <f>Hyperlink("https://www.diodes.com/part/view/DMP3018SSS","DMP3018SSS")</f>
        <v>DMP3018SSS</v>
      </c>
      <c r="B1043" t="str">
        <f>Hyperlink("https://www.diodes.com/assets/Datasheets/DMP3018SSS.pdf","DMP3018SSS Datasheet")</f>
        <v>DMP3018SSS Datasheet</v>
      </c>
      <c r="C1043" t="s">
        <v>51</v>
      </c>
      <c r="D1043" t="s">
        <v>28</v>
      </c>
      <c r="E1043" t="s">
        <v>26</v>
      </c>
      <c r="F1043" t="s">
        <v>52</v>
      </c>
      <c r="G1043" t="s">
        <v>25</v>
      </c>
      <c r="H1043">
        <v>30</v>
      </c>
      <c r="I1043">
        <v>25</v>
      </c>
      <c r="J1043">
        <v>10.5</v>
      </c>
      <c r="L1043">
        <v>1.7</v>
      </c>
      <c r="N1043">
        <v>12</v>
      </c>
      <c r="O1043">
        <v>21</v>
      </c>
      <c r="S1043">
        <v>3</v>
      </c>
      <c r="T1043" t="s">
        <v>831</v>
      </c>
      <c r="U1043">
        <v>51</v>
      </c>
      <c r="V1043">
        <v>2714</v>
      </c>
      <c r="W1043">
        <v>15</v>
      </c>
      <c r="X1043" t="s">
        <v>155</v>
      </c>
    </row>
    <row r="1044" spans="1:24">
      <c r="A1044" t="str">
        <f>Hyperlink("https://www.diodes.com/part/view/DMP3020LSS","DMP3020LSS")</f>
        <v>DMP3020LSS</v>
      </c>
      <c r="B1044" t="str">
        <f>Hyperlink("https://www.diodes.com/assets/Datasheets/ds31263.pdf","DMP3020LSS Datasheet")</f>
        <v>DMP3020LSS Datasheet</v>
      </c>
      <c r="C1044" t="s">
        <v>51</v>
      </c>
      <c r="D1044" t="s">
        <v>25</v>
      </c>
      <c r="E1044" t="s">
        <v>26</v>
      </c>
      <c r="F1044" t="s">
        <v>52</v>
      </c>
      <c r="G1044" t="s">
        <v>28</v>
      </c>
      <c r="H1044">
        <v>30</v>
      </c>
      <c r="I1044">
        <v>25</v>
      </c>
      <c r="J1044">
        <v>12</v>
      </c>
      <c r="L1044">
        <v>2.5</v>
      </c>
      <c r="N1044">
        <v>14</v>
      </c>
      <c r="O1044">
        <v>25</v>
      </c>
      <c r="S1044">
        <v>2</v>
      </c>
      <c r="T1044">
        <v>15.3</v>
      </c>
      <c r="U1044">
        <v>30.7</v>
      </c>
      <c r="V1044">
        <v>1802</v>
      </c>
      <c r="X1044" t="s">
        <v>155</v>
      </c>
    </row>
    <row r="1045" spans="1:24">
      <c r="A1045" t="str">
        <f>Hyperlink("https://www.diodes.com/part/view/DMP3021SFVW","DMP3021SFVW")</f>
        <v>DMP3021SFVW</v>
      </c>
      <c r="B1045" t="str">
        <f>Hyperlink("https://www.diodes.com/assets/Datasheets/DMP3021SFVW.pdf","DMP3021SFVW Datasheet")</f>
        <v>DMP3021SFVW Datasheet</v>
      </c>
      <c r="C1045" t="s">
        <v>832</v>
      </c>
      <c r="D1045" t="s">
        <v>28</v>
      </c>
      <c r="E1045" t="s">
        <v>26</v>
      </c>
      <c r="F1045" t="s">
        <v>52</v>
      </c>
      <c r="G1045" t="s">
        <v>25</v>
      </c>
      <c r="H1045">
        <v>30</v>
      </c>
      <c r="I1045">
        <v>25</v>
      </c>
      <c r="J1045">
        <v>11</v>
      </c>
      <c r="K1045">
        <v>42</v>
      </c>
      <c r="L1045">
        <v>2.5</v>
      </c>
      <c r="N1045">
        <v>15</v>
      </c>
      <c r="O1045" t="s">
        <v>826</v>
      </c>
      <c r="R1045">
        <v>1</v>
      </c>
      <c r="S1045">
        <v>2.5</v>
      </c>
      <c r="T1045" t="s">
        <v>833</v>
      </c>
      <c r="U1045">
        <v>34</v>
      </c>
      <c r="V1045">
        <v>1799</v>
      </c>
      <c r="W1045">
        <v>15</v>
      </c>
      <c r="X1045" t="s">
        <v>655</v>
      </c>
    </row>
    <row r="1046" spans="1:24">
      <c r="A1046" t="str">
        <f>Hyperlink("https://www.diodes.com/part/view/DMP3021SFVWQ","DMP3021SFVWQ")</f>
        <v>DMP3021SFVWQ</v>
      </c>
      <c r="B1046" t="str">
        <f>Hyperlink("https://www.diodes.com/assets/Datasheets/DMP3021SFVWQ.pdf","DMP3021SFVWQ Datasheet")</f>
        <v>DMP3021SFVWQ Datasheet</v>
      </c>
      <c r="C1046" t="s">
        <v>503</v>
      </c>
      <c r="D1046" t="s">
        <v>25</v>
      </c>
      <c r="E1046" t="s">
        <v>33</v>
      </c>
      <c r="F1046" t="s">
        <v>52</v>
      </c>
      <c r="G1046" t="s">
        <v>25</v>
      </c>
      <c r="H1046">
        <v>30</v>
      </c>
      <c r="I1046">
        <v>25</v>
      </c>
      <c r="J1046">
        <v>11</v>
      </c>
      <c r="K1046">
        <v>42</v>
      </c>
      <c r="L1046">
        <v>2.5</v>
      </c>
      <c r="N1046">
        <v>15</v>
      </c>
      <c r="O1046" t="s">
        <v>826</v>
      </c>
      <c r="R1046">
        <v>1</v>
      </c>
      <c r="S1046">
        <v>2.5</v>
      </c>
      <c r="T1046" t="s">
        <v>833</v>
      </c>
      <c r="U1046">
        <v>34</v>
      </c>
      <c r="V1046">
        <v>1799</v>
      </c>
      <c r="W1046">
        <v>15</v>
      </c>
      <c r="X1046" t="s">
        <v>655</v>
      </c>
    </row>
    <row r="1047" spans="1:24">
      <c r="A1047" t="str">
        <f>Hyperlink("https://www.diodes.com/part/view/DMP3021SPDW","DMP3021SPDW")</f>
        <v>DMP3021SPDW</v>
      </c>
      <c r="B1047" t="str">
        <f>Hyperlink("https://www.diodes.com/assets/Datasheets/DMP3021SPDW.pdf","DMP3021SPDW Datasheet")</f>
        <v>DMP3021SPDW Datasheet</v>
      </c>
      <c r="C1047" t="s">
        <v>80</v>
      </c>
      <c r="D1047" t="s">
        <v>28</v>
      </c>
      <c r="E1047" t="s">
        <v>26</v>
      </c>
      <c r="F1047" t="s">
        <v>78</v>
      </c>
      <c r="G1047" t="s">
        <v>25</v>
      </c>
      <c r="H1047">
        <v>30</v>
      </c>
      <c r="I1047">
        <v>25</v>
      </c>
      <c r="J1047">
        <v>10</v>
      </c>
      <c r="K1047">
        <v>39</v>
      </c>
      <c r="L1047">
        <v>2.7</v>
      </c>
      <c r="N1047">
        <v>18</v>
      </c>
      <c r="O1047" t="s">
        <v>834</v>
      </c>
      <c r="R1047">
        <v>1</v>
      </c>
      <c r="S1047">
        <v>2.5</v>
      </c>
      <c r="T1047" t="s">
        <v>835</v>
      </c>
      <c r="U1047">
        <v>34</v>
      </c>
      <c r="V1047">
        <v>1799</v>
      </c>
      <c r="W1047">
        <v>15</v>
      </c>
      <c r="X1047" t="s">
        <v>115</v>
      </c>
    </row>
    <row r="1048" spans="1:24">
      <c r="A1048" t="str">
        <f>Hyperlink("https://www.diodes.com/part/view/DMP3021SPSW","DMP3021SPSW")</f>
        <v>DMP3021SPSW</v>
      </c>
      <c r="B1048" t="str">
        <f>Hyperlink("https://www.diodes.com/assets/Datasheets/DMP3021SPSW.pdf","DMP3021SPSW Datasheet")</f>
        <v>DMP3021SPSW Datasheet</v>
      </c>
      <c r="C1048" t="s">
        <v>503</v>
      </c>
      <c r="D1048" t="s">
        <v>28</v>
      </c>
      <c r="E1048" t="s">
        <v>26</v>
      </c>
      <c r="F1048" t="s">
        <v>52</v>
      </c>
      <c r="G1048" t="s">
        <v>25</v>
      </c>
      <c r="H1048">
        <v>30</v>
      </c>
      <c r="I1048">
        <v>25</v>
      </c>
      <c r="J1048">
        <v>10.6</v>
      </c>
      <c r="K1048">
        <v>56.7</v>
      </c>
      <c r="L1048">
        <v>2.5</v>
      </c>
      <c r="N1048">
        <v>15</v>
      </c>
      <c r="O1048" t="s">
        <v>836</v>
      </c>
      <c r="R1048">
        <v>1</v>
      </c>
      <c r="S1048">
        <v>2.5</v>
      </c>
      <c r="T1048" t="s">
        <v>835</v>
      </c>
      <c r="U1048">
        <v>34</v>
      </c>
      <c r="V1048">
        <v>1799</v>
      </c>
      <c r="W1048">
        <v>15</v>
      </c>
      <c r="X1048" t="s">
        <v>757</v>
      </c>
    </row>
    <row r="1049" spans="1:24">
      <c r="A1049" t="str">
        <f>Hyperlink("https://www.diodes.com/part/view/DMP3021SSS","DMP3021SSS")</f>
        <v>DMP3021SSS</v>
      </c>
      <c r="B1049" t="str">
        <f>Hyperlink("https://www.diodes.com/assets/Datasheets/DMP3021SSS.pdf","DMP3021SSS Datasheet")</f>
        <v>DMP3021SSS Datasheet</v>
      </c>
      <c r="C1049" t="s">
        <v>503</v>
      </c>
      <c r="D1049" t="s">
        <v>28</v>
      </c>
      <c r="E1049" t="s">
        <v>26</v>
      </c>
      <c r="F1049" t="s">
        <v>52</v>
      </c>
      <c r="G1049" t="s">
        <v>25</v>
      </c>
      <c r="H1049">
        <v>30</v>
      </c>
      <c r="I1049">
        <v>25</v>
      </c>
      <c r="J1049">
        <v>10.4</v>
      </c>
      <c r="K1049">
        <v>39</v>
      </c>
      <c r="L1049">
        <v>1</v>
      </c>
      <c r="M1049">
        <v>2.5</v>
      </c>
      <c r="N1049">
        <v>15</v>
      </c>
      <c r="O1049" t="s">
        <v>826</v>
      </c>
      <c r="R1049">
        <v>1</v>
      </c>
      <c r="S1049">
        <v>2.5</v>
      </c>
      <c r="T1049">
        <v>17.4</v>
      </c>
      <c r="U1049">
        <v>34</v>
      </c>
      <c r="V1049">
        <v>1799</v>
      </c>
      <c r="W1049">
        <v>15</v>
      </c>
      <c r="X1049" t="s">
        <v>155</v>
      </c>
    </row>
    <row r="1050" spans="1:24">
      <c r="A1050" t="str">
        <f>Hyperlink("https://www.diodes.com/part/view/DMP3025SFDF","DMP3025SFDF")</f>
        <v>DMP3025SFDF</v>
      </c>
      <c r="B1050" t="str">
        <f>Hyperlink("https://www.diodes.com/assets/Datasheets/DMP3025SFDF.pdf","DMP3025SFDF Datasheet")</f>
        <v>DMP3025SFDF Datasheet</v>
      </c>
      <c r="C1050" t="s">
        <v>777</v>
      </c>
      <c r="D1050" t="s">
        <v>28</v>
      </c>
      <c r="E1050" t="s">
        <v>26</v>
      </c>
      <c r="F1050" t="s">
        <v>52</v>
      </c>
      <c r="G1050" t="s">
        <v>25</v>
      </c>
      <c r="H1050">
        <v>30</v>
      </c>
      <c r="I1050">
        <v>25</v>
      </c>
      <c r="J1050">
        <v>8.6</v>
      </c>
      <c r="L1050">
        <v>2.1</v>
      </c>
      <c r="N1050">
        <v>19</v>
      </c>
      <c r="O1050" t="s">
        <v>837</v>
      </c>
      <c r="R1050">
        <v>1.2</v>
      </c>
      <c r="S1050">
        <v>2.6</v>
      </c>
      <c r="T1050">
        <v>11</v>
      </c>
      <c r="U1050">
        <v>20</v>
      </c>
      <c r="V1050">
        <v>1031</v>
      </c>
      <c r="W1050">
        <v>15</v>
      </c>
      <c r="X1050" t="s">
        <v>568</v>
      </c>
    </row>
    <row r="1051" spans="1:24">
      <c r="A1051" t="str">
        <f>Hyperlink("https://www.diodes.com/part/view/DMP3026SFDE","DMP3026SFDE")</f>
        <v>DMP3026SFDE</v>
      </c>
      <c r="B1051" t="str">
        <f>Hyperlink("https://www.diodes.com/assets/Datasheets/DMP3026SFDE.pdf","DMP3026SFDE Datasheet")</f>
        <v>DMP3026SFDE Datasheet</v>
      </c>
      <c r="C1051" t="s">
        <v>51</v>
      </c>
      <c r="D1051" t="s">
        <v>25</v>
      </c>
      <c r="E1051" t="s">
        <v>26</v>
      </c>
      <c r="F1051" t="s">
        <v>52</v>
      </c>
      <c r="G1051" t="s">
        <v>25</v>
      </c>
      <c r="H1051">
        <v>30</v>
      </c>
      <c r="I1051">
        <v>25</v>
      </c>
      <c r="J1051">
        <v>8.7</v>
      </c>
      <c r="L1051">
        <v>2</v>
      </c>
      <c r="N1051">
        <v>19</v>
      </c>
      <c r="O1051">
        <v>45</v>
      </c>
      <c r="S1051">
        <v>3</v>
      </c>
      <c r="T1051">
        <v>9.2</v>
      </c>
      <c r="U1051">
        <v>19.6</v>
      </c>
      <c r="V1051">
        <v>1204</v>
      </c>
      <c r="W1051">
        <v>15</v>
      </c>
      <c r="X1051" t="s">
        <v>567</v>
      </c>
    </row>
    <row r="1052" spans="1:24">
      <c r="A1052" t="str">
        <f>Hyperlink("https://www.diodes.com/part/view/DMP3026SFDF","DMP3026SFDF")</f>
        <v>DMP3026SFDF</v>
      </c>
      <c r="B1052" t="str">
        <f>Hyperlink("https://www.diodes.com/assets/Datasheets/DMP3026SFDF.pdf","DMP3026SFDF Datasheet")</f>
        <v>DMP3026SFDF Datasheet</v>
      </c>
      <c r="C1052" t="s">
        <v>51</v>
      </c>
      <c r="D1052" t="s">
        <v>25</v>
      </c>
      <c r="E1052" t="s">
        <v>26</v>
      </c>
      <c r="F1052" t="s">
        <v>52</v>
      </c>
      <c r="G1052" t="s">
        <v>25</v>
      </c>
      <c r="H1052">
        <v>30</v>
      </c>
      <c r="I1052">
        <v>25</v>
      </c>
      <c r="J1052">
        <v>8.6</v>
      </c>
      <c r="L1052">
        <v>2</v>
      </c>
      <c r="N1052">
        <v>19</v>
      </c>
      <c r="O1052">
        <v>45</v>
      </c>
      <c r="S1052">
        <v>3</v>
      </c>
      <c r="T1052">
        <v>9.2</v>
      </c>
      <c r="U1052">
        <v>19.6</v>
      </c>
      <c r="V1052">
        <v>1204</v>
      </c>
      <c r="W1052">
        <v>15</v>
      </c>
      <c r="X1052" t="s">
        <v>568</v>
      </c>
    </row>
    <row r="1053" spans="1:24">
      <c r="A1053" t="str">
        <f>Hyperlink("https://www.diodes.com/part/view/DMP3027LFDE","DMP3027LFDE")</f>
        <v>DMP3027LFDE</v>
      </c>
      <c r="B1053" t="str">
        <f>Hyperlink("https://www.diodes.com/assets/Datasheets/DMP3027LFDE.pdf","DMP3027LFDE Datasheet")</f>
        <v>DMP3027LFDE Datasheet</v>
      </c>
      <c r="C1053" t="s">
        <v>838</v>
      </c>
      <c r="D1053" t="s">
        <v>28</v>
      </c>
      <c r="E1053" t="s">
        <v>26</v>
      </c>
      <c r="F1053" t="s">
        <v>52</v>
      </c>
      <c r="G1053" t="s">
        <v>28</v>
      </c>
      <c r="H1053">
        <v>30</v>
      </c>
      <c r="I1053">
        <v>20</v>
      </c>
      <c r="J1053">
        <v>8.5</v>
      </c>
      <c r="L1053">
        <v>2.6</v>
      </c>
      <c r="N1053">
        <v>25</v>
      </c>
      <c r="O1053">
        <v>38</v>
      </c>
      <c r="R1053">
        <v>1.2</v>
      </c>
      <c r="S1053">
        <v>2.4</v>
      </c>
      <c r="T1053">
        <v>11.2</v>
      </c>
      <c r="U1053">
        <v>21.8</v>
      </c>
      <c r="V1053">
        <v>1142</v>
      </c>
      <c r="W1053">
        <v>15</v>
      </c>
      <c r="X1053" t="s">
        <v>567</v>
      </c>
    </row>
    <row r="1054" spans="1:24">
      <c r="A1054" t="str">
        <f>Hyperlink("https://www.diodes.com/part/view/DMP3027LFDEQ","DMP3027LFDEQ")</f>
        <v>DMP3027LFDEQ</v>
      </c>
      <c r="B1054" t="str">
        <f>Hyperlink("https://www.diodes.com/assets/Datasheets/DMP3027LFDEQ.pdf","DMP3027LFDEQ Datasheet")</f>
        <v>DMP3027LFDEQ Datasheet</v>
      </c>
      <c r="C1054" t="s">
        <v>838</v>
      </c>
      <c r="D1054" t="s">
        <v>25</v>
      </c>
      <c r="E1054" t="s">
        <v>33</v>
      </c>
      <c r="F1054" t="s">
        <v>52</v>
      </c>
      <c r="G1054" t="s">
        <v>28</v>
      </c>
      <c r="H1054">
        <v>30</v>
      </c>
      <c r="I1054">
        <v>20</v>
      </c>
      <c r="J1054">
        <v>8.5</v>
      </c>
      <c r="L1054">
        <v>2.6</v>
      </c>
      <c r="N1054">
        <v>25</v>
      </c>
      <c r="O1054">
        <v>38</v>
      </c>
      <c r="R1054">
        <v>1.2</v>
      </c>
      <c r="S1054">
        <v>2.4</v>
      </c>
      <c r="T1054">
        <v>11.2</v>
      </c>
      <c r="U1054">
        <v>21.8</v>
      </c>
      <c r="V1054">
        <v>1142</v>
      </c>
      <c r="W1054">
        <v>15</v>
      </c>
      <c r="X1054" t="s">
        <v>567</v>
      </c>
    </row>
    <row r="1055" spans="1:24">
      <c r="A1055" t="str">
        <f>Hyperlink("https://www.diodes.com/part/view/DMP3028LFDE","DMP3028LFDE")</f>
        <v>DMP3028LFDE</v>
      </c>
      <c r="B1055" t="str">
        <f>Hyperlink("https://www.diodes.com/assets/Datasheets/DMP3028LFDE.pdf","DMP3028LFDE Datasheet")</f>
        <v>DMP3028LFDE Datasheet</v>
      </c>
      <c r="C1055" t="s">
        <v>51</v>
      </c>
      <c r="D1055" t="s">
        <v>25</v>
      </c>
      <c r="E1055" t="s">
        <v>26</v>
      </c>
      <c r="F1055" t="s">
        <v>52</v>
      </c>
      <c r="G1055" t="s">
        <v>28</v>
      </c>
      <c r="H1055">
        <v>30</v>
      </c>
      <c r="I1055">
        <v>20</v>
      </c>
      <c r="J1055">
        <v>6.8</v>
      </c>
      <c r="L1055">
        <v>2.03</v>
      </c>
      <c r="N1055">
        <v>25</v>
      </c>
      <c r="O1055">
        <v>38</v>
      </c>
      <c r="S1055">
        <v>2.4</v>
      </c>
      <c r="T1055">
        <v>10.9</v>
      </c>
      <c r="U1055">
        <v>22</v>
      </c>
      <c r="V1055">
        <v>1241</v>
      </c>
      <c r="W1055">
        <v>15</v>
      </c>
      <c r="X1055" t="s">
        <v>567</v>
      </c>
    </row>
    <row r="1056" spans="1:24">
      <c r="A1056" t="str">
        <f>Hyperlink("https://www.diodes.com/part/view/DMP3028LFDEQ","DMP3028LFDEQ")</f>
        <v>DMP3028LFDEQ</v>
      </c>
      <c r="B1056" t="str">
        <f>Hyperlink("https://www.diodes.com/assets/Datasheets/DMP3028LFDEQ.pdf","DMP3028LFDEQ Datasheet")</f>
        <v>DMP3028LFDEQ Datasheet</v>
      </c>
      <c r="C1056" t="s">
        <v>503</v>
      </c>
      <c r="D1056" t="s">
        <v>25</v>
      </c>
      <c r="E1056" t="s">
        <v>33</v>
      </c>
      <c r="F1056" t="s">
        <v>52</v>
      </c>
      <c r="G1056" t="s">
        <v>28</v>
      </c>
      <c r="H1056">
        <v>30</v>
      </c>
      <c r="I1056">
        <v>20</v>
      </c>
      <c r="J1056">
        <v>6.8</v>
      </c>
      <c r="L1056">
        <v>2.03</v>
      </c>
      <c r="N1056">
        <v>25</v>
      </c>
      <c r="O1056">
        <v>38</v>
      </c>
      <c r="S1056">
        <v>2.4</v>
      </c>
      <c r="T1056">
        <v>10.9</v>
      </c>
      <c r="U1056">
        <v>22</v>
      </c>
      <c r="V1056">
        <v>1241</v>
      </c>
      <c r="W1056">
        <v>15</v>
      </c>
      <c r="X1056" t="s">
        <v>567</v>
      </c>
    </row>
    <row r="1057" spans="1:24">
      <c r="A1057" t="str">
        <f>Hyperlink("https://www.diodes.com/part/view/DMP3028LK3","DMP3028LK3")</f>
        <v>DMP3028LK3</v>
      </c>
      <c r="B1057" t="str">
        <f>Hyperlink("https://www.diodes.com/assets/Datasheets/DMP3028LK3.pdf","DMP3028LK3 Datasheet")</f>
        <v>DMP3028LK3 Datasheet</v>
      </c>
      <c r="C1057" t="s">
        <v>51</v>
      </c>
      <c r="D1057" t="s">
        <v>25</v>
      </c>
      <c r="E1057" t="s">
        <v>26</v>
      </c>
      <c r="F1057" t="s">
        <v>52</v>
      </c>
      <c r="G1057" t="s">
        <v>28</v>
      </c>
      <c r="H1057">
        <v>30</v>
      </c>
      <c r="I1057">
        <v>20</v>
      </c>
      <c r="K1057">
        <v>27</v>
      </c>
      <c r="L1057">
        <v>2.8</v>
      </c>
      <c r="N1057">
        <v>25</v>
      </c>
      <c r="O1057">
        <v>38</v>
      </c>
      <c r="S1057">
        <v>2.4</v>
      </c>
      <c r="T1057">
        <v>11</v>
      </c>
      <c r="U1057">
        <v>22</v>
      </c>
      <c r="V1057">
        <v>1241</v>
      </c>
      <c r="W1057">
        <v>15</v>
      </c>
      <c r="X1057" t="s">
        <v>507</v>
      </c>
    </row>
    <row r="1058" spans="1:24">
      <c r="A1058" t="str">
        <f>Hyperlink("https://www.diodes.com/part/view/DMP3028LK3Q","DMP3028LK3Q")</f>
        <v>DMP3028LK3Q</v>
      </c>
      <c r="B1058" t="str">
        <f>Hyperlink("https://www.diodes.com/assets/Datasheets/DMP3028LK3Q.pdf","DMP3028LK3Q Datasheet")</f>
        <v>DMP3028LK3Q Datasheet</v>
      </c>
      <c r="C1058" t="s">
        <v>503</v>
      </c>
      <c r="D1058" t="s">
        <v>25</v>
      </c>
      <c r="E1058" t="s">
        <v>33</v>
      </c>
      <c r="F1058" t="s">
        <v>52</v>
      </c>
      <c r="G1058" t="s">
        <v>28</v>
      </c>
      <c r="H1058">
        <v>30</v>
      </c>
      <c r="I1058">
        <v>20</v>
      </c>
      <c r="K1058">
        <v>27</v>
      </c>
      <c r="L1058">
        <v>2.8</v>
      </c>
      <c r="N1058">
        <v>25</v>
      </c>
      <c r="O1058">
        <v>38</v>
      </c>
      <c r="S1058">
        <v>2.4</v>
      </c>
      <c r="T1058">
        <v>11</v>
      </c>
      <c r="U1058">
        <v>22</v>
      </c>
      <c r="V1058">
        <v>1241</v>
      </c>
      <c r="W1058">
        <v>15</v>
      </c>
      <c r="X1058" t="s">
        <v>507</v>
      </c>
    </row>
    <row r="1059" spans="1:24">
      <c r="A1059" t="str">
        <f>Hyperlink("https://www.diodes.com/part/view/DMP3028LPSQ","DMP3028LPSQ")</f>
        <v>DMP3028LPSQ</v>
      </c>
      <c r="B1059" t="str">
        <f>Hyperlink("https://www.diodes.com/assets/Datasheets/DMP3028LPSQ.pdf","DMP3028LPSQ Datasheet")</f>
        <v>DMP3028LPSQ Datasheet</v>
      </c>
      <c r="C1059" t="s">
        <v>51</v>
      </c>
      <c r="D1059" t="s">
        <v>25</v>
      </c>
      <c r="E1059" t="s">
        <v>33</v>
      </c>
      <c r="F1059" t="s">
        <v>52</v>
      </c>
      <c r="G1059" t="s">
        <v>28</v>
      </c>
      <c r="H1059">
        <v>30</v>
      </c>
      <c r="I1059">
        <v>20</v>
      </c>
      <c r="K1059">
        <v>21</v>
      </c>
      <c r="L1059">
        <v>2.12</v>
      </c>
      <c r="M1059">
        <v>35</v>
      </c>
      <c r="N1059">
        <v>28</v>
      </c>
      <c r="O1059">
        <v>38</v>
      </c>
      <c r="S1059">
        <v>2.4</v>
      </c>
      <c r="T1059">
        <v>11</v>
      </c>
      <c r="U1059">
        <v>22</v>
      </c>
      <c r="V1059">
        <v>1372</v>
      </c>
      <c r="W1059">
        <v>15</v>
      </c>
      <c r="X1059" t="s">
        <v>617</v>
      </c>
    </row>
    <row r="1060" spans="1:24">
      <c r="A1060" t="str">
        <f>Hyperlink("https://www.diodes.com/part/view/DMP3028LPSW","DMP3028LPSW")</f>
        <v>DMP3028LPSW</v>
      </c>
      <c r="B1060" t="str">
        <f>Hyperlink("https://www.diodes.com/assets/Datasheets/DMP3028LPSW.pdf","DMP3028LPSW Datasheet")</f>
        <v>DMP3028LPSW Datasheet</v>
      </c>
      <c r="C1060" t="s">
        <v>51</v>
      </c>
      <c r="D1060" t="s">
        <v>28</v>
      </c>
      <c r="E1060" t="s">
        <v>26</v>
      </c>
      <c r="F1060" t="s">
        <v>52</v>
      </c>
      <c r="G1060" t="s">
        <v>28</v>
      </c>
      <c r="H1060">
        <v>30</v>
      </c>
      <c r="I1060">
        <v>20</v>
      </c>
      <c r="K1060">
        <v>21</v>
      </c>
      <c r="L1060">
        <v>1.28</v>
      </c>
      <c r="M1060">
        <v>2.1</v>
      </c>
      <c r="N1060">
        <v>28</v>
      </c>
      <c r="O1060">
        <v>38</v>
      </c>
      <c r="S1060">
        <v>2.4</v>
      </c>
      <c r="T1060">
        <v>11</v>
      </c>
      <c r="U1060">
        <v>22</v>
      </c>
      <c r="V1060">
        <v>1421</v>
      </c>
      <c r="W1060">
        <v>15</v>
      </c>
      <c r="X1060" t="s">
        <v>757</v>
      </c>
    </row>
    <row r="1061" spans="1:24">
      <c r="A1061" t="str">
        <f>Hyperlink("https://www.diodes.com/part/view/DMP3028LSD","DMP3028LSD")</f>
        <v>DMP3028LSD</v>
      </c>
      <c r="B1061" t="str">
        <f>Hyperlink("https://www.diodes.com/assets/Datasheets/DMP3028LSD.pdf","DMP3028LSD Datasheet")</f>
        <v>DMP3028LSD Datasheet</v>
      </c>
      <c r="C1061" t="s">
        <v>77</v>
      </c>
      <c r="D1061" t="s">
        <v>25</v>
      </c>
      <c r="E1061" t="s">
        <v>26</v>
      </c>
      <c r="F1061" t="s">
        <v>78</v>
      </c>
      <c r="G1061" t="s">
        <v>28</v>
      </c>
      <c r="H1061">
        <v>30</v>
      </c>
      <c r="I1061">
        <v>20</v>
      </c>
      <c r="J1061">
        <v>6</v>
      </c>
      <c r="L1061">
        <v>1.7</v>
      </c>
      <c r="N1061">
        <v>25</v>
      </c>
      <c r="O1061">
        <v>38</v>
      </c>
      <c r="S1061">
        <v>3</v>
      </c>
      <c r="T1061">
        <v>10.9</v>
      </c>
      <c r="U1061">
        <v>22</v>
      </c>
      <c r="V1061">
        <v>1241</v>
      </c>
      <c r="X1061" t="s">
        <v>155</v>
      </c>
    </row>
    <row r="1062" spans="1:24">
      <c r="A1062" t="str">
        <f>Hyperlink("https://www.diodes.com/part/view/DMP3030SN","DMP3030SN")</f>
        <v>DMP3030SN</v>
      </c>
      <c r="B1062" t="str">
        <f>Hyperlink("https://www.diodes.com/assets/Datasheets/DMP3030SN.pdf","DMP3030SN Datasheet")</f>
        <v>DMP3030SN Datasheet</v>
      </c>
      <c r="C1062" t="s">
        <v>839</v>
      </c>
      <c r="D1062" t="s">
        <v>25</v>
      </c>
      <c r="E1062" t="s">
        <v>26</v>
      </c>
      <c r="F1062" t="s">
        <v>52</v>
      </c>
      <c r="G1062" t="s">
        <v>25</v>
      </c>
      <c r="H1062">
        <v>30</v>
      </c>
      <c r="I1062">
        <v>20</v>
      </c>
      <c r="J1062">
        <v>0.7</v>
      </c>
      <c r="L1062">
        <v>0.5</v>
      </c>
      <c r="N1062">
        <v>250</v>
      </c>
      <c r="O1062">
        <v>450</v>
      </c>
      <c r="S1062">
        <v>3</v>
      </c>
      <c r="V1062">
        <v>160</v>
      </c>
      <c r="X1062" t="s">
        <v>63</v>
      </c>
    </row>
    <row r="1063" spans="1:24">
      <c r="A1063" t="str">
        <f>Hyperlink("https://www.diodes.com/part/view/DMP3035LSS","DMP3035LSS")</f>
        <v>DMP3035LSS</v>
      </c>
      <c r="B1063" t="str">
        <f>Hyperlink("https://www.diodes.com/assets/Datasheets/DMP3035LSS.pdf","DMP3035LSS Datasheet")</f>
        <v>DMP3035LSS Datasheet</v>
      </c>
      <c r="C1063" t="s">
        <v>51</v>
      </c>
      <c r="D1063" t="s">
        <v>25</v>
      </c>
      <c r="E1063" t="s">
        <v>26</v>
      </c>
      <c r="F1063" t="s">
        <v>52</v>
      </c>
      <c r="G1063" t="s">
        <v>28</v>
      </c>
      <c r="H1063">
        <v>30</v>
      </c>
      <c r="I1063">
        <v>25</v>
      </c>
      <c r="J1063">
        <v>10</v>
      </c>
      <c r="L1063">
        <v>2</v>
      </c>
      <c r="N1063">
        <v>18</v>
      </c>
      <c r="O1063">
        <v>36</v>
      </c>
      <c r="S1063">
        <v>2</v>
      </c>
      <c r="T1063">
        <v>15.3</v>
      </c>
      <c r="U1063">
        <v>30.7</v>
      </c>
      <c r="X1063" t="s">
        <v>155</v>
      </c>
    </row>
    <row r="1064" spans="1:24">
      <c r="A1064" t="str">
        <f>Hyperlink("https://www.diodes.com/part/view/DMP3036SFG","DMP3036SFG")</f>
        <v>DMP3036SFG</v>
      </c>
      <c r="B1064" t="str">
        <f>Hyperlink("https://www.diodes.com/assets/Datasheets/DMP3036SFG.pdf","DMP3036SFG Datasheet")</f>
        <v>DMP3036SFG Datasheet</v>
      </c>
      <c r="C1064" t="s">
        <v>503</v>
      </c>
      <c r="D1064" t="s">
        <v>25</v>
      </c>
      <c r="E1064" t="s">
        <v>26</v>
      </c>
      <c r="F1064" t="s">
        <v>52</v>
      </c>
      <c r="G1064" t="s">
        <v>28</v>
      </c>
      <c r="H1064">
        <v>30</v>
      </c>
      <c r="I1064">
        <v>25</v>
      </c>
      <c r="J1064">
        <v>8.7</v>
      </c>
      <c r="L1064">
        <v>2.3</v>
      </c>
      <c r="N1064">
        <v>20</v>
      </c>
      <c r="O1064" t="s">
        <v>840</v>
      </c>
      <c r="S1064">
        <v>2.5</v>
      </c>
      <c r="T1064" t="s">
        <v>841</v>
      </c>
      <c r="U1064">
        <v>16.5</v>
      </c>
      <c r="V1064">
        <v>1931</v>
      </c>
      <c r="W1064">
        <v>15</v>
      </c>
      <c r="X1064" t="s">
        <v>529</v>
      </c>
    </row>
    <row r="1065" spans="1:24">
      <c r="A1065" t="str">
        <f>Hyperlink("https://www.diodes.com/part/view/DMP3036SFV","DMP3036SFV")</f>
        <v>DMP3036SFV</v>
      </c>
      <c r="B1065" t="str">
        <f>Hyperlink("https://www.diodes.com/assets/Datasheets/DMP3036SFV.pdf","DMP3036SFV Datasheet")</f>
        <v>DMP3036SFV Datasheet</v>
      </c>
      <c r="C1065" t="s">
        <v>503</v>
      </c>
      <c r="D1065" t="s">
        <v>28</v>
      </c>
      <c r="E1065" t="s">
        <v>26</v>
      </c>
      <c r="F1065" t="s">
        <v>52</v>
      </c>
      <c r="G1065" t="s">
        <v>28</v>
      </c>
      <c r="H1065">
        <v>30</v>
      </c>
      <c r="I1065">
        <v>25</v>
      </c>
      <c r="J1065">
        <v>8.7</v>
      </c>
      <c r="L1065">
        <v>2.3</v>
      </c>
      <c r="N1065">
        <v>20</v>
      </c>
      <c r="O1065" t="s">
        <v>840</v>
      </c>
      <c r="S1065">
        <v>2.5</v>
      </c>
      <c r="T1065" t="s">
        <v>841</v>
      </c>
      <c r="U1065">
        <v>16.5</v>
      </c>
      <c r="V1065">
        <v>1931</v>
      </c>
      <c r="W1065">
        <v>15</v>
      </c>
      <c r="X1065" t="s">
        <v>570</v>
      </c>
    </row>
    <row r="1066" spans="1:24">
      <c r="A1066" t="str">
        <f>Hyperlink("https://www.diodes.com/part/view/DMP3036SFVQ","DMP3036SFVQ")</f>
        <v>DMP3036SFVQ</v>
      </c>
      <c r="B1066" t="str">
        <f>Hyperlink("https://www.diodes.com/assets/Datasheets/DMP3036SFVQ.pdf","DMP3036SFVQ Datasheet")</f>
        <v>DMP3036SFVQ Datasheet</v>
      </c>
      <c r="C1066" t="s">
        <v>503</v>
      </c>
      <c r="D1066" t="s">
        <v>25</v>
      </c>
      <c r="E1066" t="s">
        <v>33</v>
      </c>
      <c r="F1066" t="s">
        <v>52</v>
      </c>
      <c r="G1066" t="s">
        <v>28</v>
      </c>
      <c r="H1066">
        <v>30</v>
      </c>
      <c r="I1066">
        <v>25</v>
      </c>
      <c r="J1066">
        <v>8.7</v>
      </c>
      <c r="K1066">
        <v>30</v>
      </c>
      <c r="L1066">
        <v>2.3</v>
      </c>
      <c r="N1066">
        <v>20</v>
      </c>
      <c r="O1066" t="s">
        <v>840</v>
      </c>
      <c r="R1066">
        <v>1</v>
      </c>
      <c r="S1066">
        <v>2.5</v>
      </c>
      <c r="T1066" t="s">
        <v>841</v>
      </c>
      <c r="U1066">
        <v>16.5</v>
      </c>
      <c r="V1066">
        <v>1931</v>
      </c>
      <c r="W1066">
        <v>15</v>
      </c>
      <c r="X1066" t="s">
        <v>570</v>
      </c>
    </row>
    <row r="1067" spans="1:24">
      <c r="A1067" t="str">
        <f>Hyperlink("https://www.diodes.com/part/view/DMP3036SSD","DMP3036SSD")</f>
        <v>DMP3036SSD</v>
      </c>
      <c r="B1067" t="str">
        <f>Hyperlink("https://www.diodes.com/assets/Datasheets/DMP3036SSD.pdf","DMP3036SSD Datasheet")</f>
        <v>DMP3036SSD Datasheet</v>
      </c>
      <c r="C1067" t="s">
        <v>77</v>
      </c>
      <c r="D1067" t="s">
        <v>25</v>
      </c>
      <c r="E1067" t="s">
        <v>26</v>
      </c>
      <c r="F1067" t="s">
        <v>78</v>
      </c>
      <c r="G1067" t="s">
        <v>28</v>
      </c>
      <c r="H1067">
        <v>30</v>
      </c>
      <c r="I1067">
        <v>25</v>
      </c>
      <c r="J1067">
        <v>10.6</v>
      </c>
      <c r="L1067">
        <v>1.7</v>
      </c>
      <c r="N1067">
        <v>20</v>
      </c>
      <c r="O1067" t="s">
        <v>840</v>
      </c>
      <c r="S1067">
        <v>3</v>
      </c>
      <c r="T1067" t="s">
        <v>841</v>
      </c>
      <c r="U1067">
        <v>16.5</v>
      </c>
      <c r="V1067">
        <v>1633</v>
      </c>
      <c r="W1067">
        <v>15</v>
      </c>
      <c r="X1067" t="s">
        <v>155</v>
      </c>
    </row>
    <row r="1068" spans="1:24">
      <c r="A1068" t="str">
        <f>Hyperlink("https://www.diodes.com/part/view/DMP3036SSS","DMP3036SSS")</f>
        <v>DMP3036SSS</v>
      </c>
      <c r="B1068" t="str">
        <f>Hyperlink("https://www.diodes.com/assets/Datasheets/DMP3036SSS.pdf","DMP3036SSS Datasheet")</f>
        <v>DMP3036SSS Datasheet</v>
      </c>
      <c r="C1068" t="s">
        <v>51</v>
      </c>
      <c r="D1068" t="s">
        <v>25</v>
      </c>
      <c r="E1068" t="s">
        <v>26</v>
      </c>
      <c r="F1068" t="s">
        <v>52</v>
      </c>
      <c r="G1068" t="s">
        <v>28</v>
      </c>
      <c r="H1068">
        <v>30</v>
      </c>
      <c r="I1068">
        <v>25</v>
      </c>
      <c r="J1068">
        <v>11.4</v>
      </c>
      <c r="L1068">
        <v>1.9</v>
      </c>
      <c r="N1068">
        <v>20</v>
      </c>
      <c r="O1068" t="s">
        <v>840</v>
      </c>
      <c r="S1068">
        <v>3</v>
      </c>
      <c r="T1068" t="s">
        <v>841</v>
      </c>
      <c r="U1068">
        <v>16.5</v>
      </c>
      <c r="V1068">
        <v>1633</v>
      </c>
      <c r="W1068">
        <v>15</v>
      </c>
      <c r="X1068" t="s">
        <v>155</v>
      </c>
    </row>
    <row r="1069" spans="1:24">
      <c r="A1069" t="str">
        <f>Hyperlink("https://www.diodes.com/part/view/DMP3037LSS","DMP3037LSS")</f>
        <v>DMP3037LSS</v>
      </c>
      <c r="B1069" t="str">
        <f>Hyperlink("https://www.diodes.com/assets/Datasheets/DMP3037LSS.pdf","DMP3037LSS Datasheet")</f>
        <v>DMP3037LSS Datasheet</v>
      </c>
      <c r="C1069" t="s">
        <v>51</v>
      </c>
      <c r="D1069" t="s">
        <v>25</v>
      </c>
      <c r="E1069" t="s">
        <v>26</v>
      </c>
      <c r="F1069" t="s">
        <v>52</v>
      </c>
      <c r="G1069" t="s">
        <v>28</v>
      </c>
      <c r="H1069">
        <v>30</v>
      </c>
      <c r="I1069">
        <v>20</v>
      </c>
      <c r="J1069">
        <v>5.8</v>
      </c>
      <c r="L1069">
        <v>1.6</v>
      </c>
      <c r="N1069">
        <v>32</v>
      </c>
      <c r="O1069">
        <v>50</v>
      </c>
      <c r="S1069">
        <v>2.4</v>
      </c>
      <c r="T1069">
        <v>9.7</v>
      </c>
      <c r="U1069">
        <v>19.3</v>
      </c>
      <c r="V1069">
        <v>931</v>
      </c>
      <c r="X1069" t="s">
        <v>155</v>
      </c>
    </row>
    <row r="1070" spans="1:24">
      <c r="A1070" t="str">
        <f>Hyperlink("https://www.diodes.com/part/view/DMP3037LSSQ","DMP3037LSSQ")</f>
        <v>DMP3037LSSQ</v>
      </c>
      <c r="B1070" t="str">
        <f>Hyperlink("https://www.diodes.com/assets/Datasheets/DMP3037LSSQ.pdf","DMP3037LSSQ Datasheet")</f>
        <v>DMP3037LSSQ Datasheet</v>
      </c>
      <c r="C1070" t="s">
        <v>51</v>
      </c>
      <c r="D1070" t="s">
        <v>25</v>
      </c>
      <c r="E1070" t="s">
        <v>33</v>
      </c>
      <c r="F1070" t="s">
        <v>52</v>
      </c>
      <c r="G1070" t="s">
        <v>28</v>
      </c>
      <c r="H1070">
        <v>30</v>
      </c>
      <c r="I1070">
        <v>20</v>
      </c>
      <c r="J1070">
        <v>5.8</v>
      </c>
      <c r="L1070">
        <v>1.6</v>
      </c>
      <c r="N1070">
        <v>32</v>
      </c>
      <c r="O1070">
        <v>50</v>
      </c>
      <c r="S1070">
        <v>2.4</v>
      </c>
      <c r="T1070">
        <v>8.2</v>
      </c>
      <c r="U1070">
        <v>17.3</v>
      </c>
      <c r="V1070">
        <v>969</v>
      </c>
      <c r="W1070">
        <v>15</v>
      </c>
      <c r="X1070" t="s">
        <v>155</v>
      </c>
    </row>
    <row r="1071" spans="1:24">
      <c r="A1071" t="str">
        <f>Hyperlink("https://www.diodes.com/part/view/DMP3045LFVW","DMP3045LFVW")</f>
        <v>DMP3045LFVW</v>
      </c>
      <c r="B1071" t="str">
        <f>Hyperlink("https://www.diodes.com/assets/Datasheets/DMP3045LFVW.pdf","DMP3045LFVW Datasheet")</f>
        <v>DMP3045LFVW Datasheet</v>
      </c>
      <c r="C1071" t="s">
        <v>503</v>
      </c>
      <c r="D1071" t="s">
        <v>28</v>
      </c>
      <c r="E1071" t="s">
        <v>26</v>
      </c>
      <c r="F1071" t="s">
        <v>52</v>
      </c>
      <c r="G1071" t="s">
        <v>25</v>
      </c>
      <c r="H1071">
        <v>30</v>
      </c>
      <c r="I1071">
        <v>20</v>
      </c>
      <c r="J1071">
        <v>5.7</v>
      </c>
      <c r="K1071">
        <v>19.9</v>
      </c>
      <c r="L1071">
        <v>2.1</v>
      </c>
      <c r="N1071">
        <v>42</v>
      </c>
      <c r="O1071">
        <v>65</v>
      </c>
      <c r="R1071">
        <v>1</v>
      </c>
      <c r="S1071">
        <v>2.1</v>
      </c>
      <c r="T1071">
        <v>6.6</v>
      </c>
      <c r="U1071">
        <v>13.6</v>
      </c>
      <c r="V1071">
        <v>782</v>
      </c>
      <c r="W1071">
        <v>15</v>
      </c>
      <c r="X1071" t="s">
        <v>655</v>
      </c>
    </row>
    <row r="1072" spans="1:24">
      <c r="A1072" t="str">
        <f>Hyperlink("https://www.diodes.com/part/view/DMP3045LFVWQ","DMP3045LFVWQ")</f>
        <v>DMP3045LFVWQ</v>
      </c>
      <c r="B1072" t="str">
        <f>Hyperlink("https://www.diodes.com/assets/Datasheets/DMP3045LFVWQ.pdf","DMP3045LFVWQ Datasheet")</f>
        <v>DMP3045LFVWQ Datasheet</v>
      </c>
      <c r="C1072" t="s">
        <v>503</v>
      </c>
      <c r="D1072" t="s">
        <v>25</v>
      </c>
      <c r="E1072" t="s">
        <v>33</v>
      </c>
      <c r="F1072" t="s">
        <v>52</v>
      </c>
      <c r="G1072" t="s">
        <v>25</v>
      </c>
      <c r="H1072">
        <v>30</v>
      </c>
      <c r="I1072">
        <v>20</v>
      </c>
      <c r="J1072">
        <v>5.7</v>
      </c>
      <c r="K1072">
        <v>19.9</v>
      </c>
      <c r="L1072">
        <v>2.1</v>
      </c>
      <c r="N1072">
        <v>42</v>
      </c>
      <c r="O1072">
        <v>65</v>
      </c>
      <c r="R1072">
        <v>1</v>
      </c>
      <c r="S1072">
        <v>2.1</v>
      </c>
      <c r="T1072">
        <v>6.6</v>
      </c>
      <c r="U1072">
        <v>13.6</v>
      </c>
      <c r="V1072">
        <v>782</v>
      </c>
      <c r="W1072">
        <v>15</v>
      </c>
      <c r="X1072" t="s">
        <v>655</v>
      </c>
    </row>
    <row r="1073" spans="1:24">
      <c r="A1073" t="str">
        <f>Hyperlink("https://www.diodes.com/part/view/DMP3045LVT","DMP3045LVT")</f>
        <v>DMP3045LVT</v>
      </c>
      <c r="B1073" t="str">
        <f>Hyperlink("https://www.diodes.com/assets/Datasheets/DMP3045LVT.pdf","DMP3045LVT Datasheet")</f>
        <v>DMP3045LVT Datasheet</v>
      </c>
      <c r="C1073" t="s">
        <v>51</v>
      </c>
      <c r="D1073" t="s">
        <v>28</v>
      </c>
      <c r="E1073" t="s">
        <v>26</v>
      </c>
      <c r="F1073" t="s">
        <v>52</v>
      </c>
      <c r="G1073" t="s">
        <v>25</v>
      </c>
      <c r="H1073">
        <v>30</v>
      </c>
      <c r="I1073">
        <v>20</v>
      </c>
      <c r="J1073">
        <v>5.4</v>
      </c>
      <c r="L1073">
        <v>1.6</v>
      </c>
      <c r="N1073">
        <v>42</v>
      </c>
      <c r="O1073">
        <v>65</v>
      </c>
      <c r="R1073">
        <v>1</v>
      </c>
      <c r="S1073">
        <v>2.1</v>
      </c>
      <c r="T1073">
        <v>7</v>
      </c>
      <c r="U1073">
        <v>14.3</v>
      </c>
      <c r="V1073">
        <v>749</v>
      </c>
      <c r="W1073">
        <v>15</v>
      </c>
      <c r="X1073" t="s">
        <v>128</v>
      </c>
    </row>
    <row r="1074" spans="1:24">
      <c r="A1074" t="str">
        <f>Hyperlink("https://www.diodes.com/part/view/DMP3045LVTQ","DMP3045LVTQ")</f>
        <v>DMP3045LVTQ</v>
      </c>
      <c r="B1074" t="str">
        <f>Hyperlink("https://www.diodes.com/assets/Datasheets/DMP3045LVTQ.pdf","DMP3045LVTQ Datasheet")</f>
        <v>DMP3045LVTQ Datasheet</v>
      </c>
      <c r="C1074" t="s">
        <v>777</v>
      </c>
      <c r="D1074" t="s">
        <v>25</v>
      </c>
      <c r="E1074" t="s">
        <v>33</v>
      </c>
      <c r="F1074" t="s">
        <v>52</v>
      </c>
      <c r="G1074" t="s">
        <v>25</v>
      </c>
      <c r="H1074">
        <v>30</v>
      </c>
      <c r="I1074">
        <v>20</v>
      </c>
      <c r="J1074">
        <v>5.4</v>
      </c>
      <c r="L1074">
        <v>1.2</v>
      </c>
      <c r="N1074">
        <v>42</v>
      </c>
      <c r="O1074">
        <v>65</v>
      </c>
      <c r="R1074">
        <v>1</v>
      </c>
      <c r="S1074">
        <v>2.1</v>
      </c>
      <c r="T1074">
        <v>7</v>
      </c>
      <c r="U1074">
        <v>14.3</v>
      </c>
      <c r="V1074">
        <v>749</v>
      </c>
      <c r="W1074">
        <v>15</v>
      </c>
      <c r="X1074" t="s">
        <v>128</v>
      </c>
    </row>
    <row r="1075" spans="1:24">
      <c r="A1075" t="str">
        <f>Hyperlink("https://www.diodes.com/part/view/DMP3048LSD","DMP3048LSD")</f>
        <v>DMP3048LSD</v>
      </c>
      <c r="B1075" t="str">
        <f>Hyperlink("https://www.diodes.com/assets/Datasheets/DMP3048LSD.pdf","DMP3048LSD Datasheet")</f>
        <v>DMP3048LSD Datasheet</v>
      </c>
      <c r="C1075" t="s">
        <v>51</v>
      </c>
      <c r="D1075" t="s">
        <v>25</v>
      </c>
      <c r="E1075" t="s">
        <v>26</v>
      </c>
      <c r="F1075" t="s">
        <v>78</v>
      </c>
      <c r="G1075" t="s">
        <v>28</v>
      </c>
      <c r="H1075">
        <v>30</v>
      </c>
      <c r="I1075">
        <v>12</v>
      </c>
      <c r="J1075">
        <v>4.8</v>
      </c>
      <c r="L1075">
        <v>1.7</v>
      </c>
      <c r="N1075">
        <v>48</v>
      </c>
      <c r="O1075">
        <v>57</v>
      </c>
      <c r="P1075">
        <v>80</v>
      </c>
      <c r="S1075">
        <v>1.3</v>
      </c>
      <c r="T1075">
        <v>13.5</v>
      </c>
      <c r="U1075">
        <v>29.6</v>
      </c>
      <c r="V1075">
        <v>1438</v>
      </c>
      <c r="W1075">
        <v>15</v>
      </c>
      <c r="X1075" t="s">
        <v>155</v>
      </c>
    </row>
    <row r="1076" spans="1:24">
      <c r="A1076" t="str">
        <f>Hyperlink("https://www.diodes.com/part/view/DMP3050LSS","DMP3050LSS")</f>
        <v>DMP3050LSS</v>
      </c>
      <c r="B1076" t="str">
        <f>Hyperlink("https://www.diodes.com/assets/Datasheets/DMP3050LSS.pdf","DMP3050LSS Datasheet")</f>
        <v>DMP3050LSS Datasheet</v>
      </c>
      <c r="C1076" t="s">
        <v>51</v>
      </c>
      <c r="D1076" t="s">
        <v>25</v>
      </c>
      <c r="E1076" t="s">
        <v>26</v>
      </c>
      <c r="F1076" t="s">
        <v>52</v>
      </c>
      <c r="G1076" t="s">
        <v>28</v>
      </c>
      <c r="H1076">
        <v>30</v>
      </c>
      <c r="I1076">
        <v>25</v>
      </c>
      <c r="J1076">
        <v>4.8</v>
      </c>
      <c r="L1076">
        <v>1.7</v>
      </c>
      <c r="N1076">
        <v>45</v>
      </c>
      <c r="O1076">
        <v>80</v>
      </c>
      <c r="S1076">
        <v>2</v>
      </c>
      <c r="T1076">
        <v>5.1</v>
      </c>
      <c r="U1076">
        <v>10.5</v>
      </c>
      <c r="V1076">
        <v>620</v>
      </c>
      <c r="X1076" t="s">
        <v>155</v>
      </c>
    </row>
    <row r="1077" spans="1:24">
      <c r="A1077" t="str">
        <f>Hyperlink("https://www.diodes.com/part/view/DMP3050LVT","DMP3050LVT")</f>
        <v>DMP3050LVT</v>
      </c>
      <c r="B1077" t="str">
        <f>Hyperlink("https://www.diodes.com/assets/Datasheets/DMP3050LVT.pdf","DMP3050LVT Datasheet")</f>
        <v>DMP3050LVT Datasheet</v>
      </c>
      <c r="C1077" t="s">
        <v>51</v>
      </c>
      <c r="D1077" t="s">
        <v>25</v>
      </c>
      <c r="E1077" t="s">
        <v>26</v>
      </c>
      <c r="F1077" t="s">
        <v>52</v>
      </c>
      <c r="G1077" t="s">
        <v>28</v>
      </c>
      <c r="H1077">
        <v>30</v>
      </c>
      <c r="I1077">
        <v>25</v>
      </c>
      <c r="J1077">
        <v>4.5</v>
      </c>
      <c r="L1077">
        <v>1.6</v>
      </c>
      <c r="N1077">
        <v>50</v>
      </c>
      <c r="O1077">
        <v>75</v>
      </c>
      <c r="S1077">
        <v>2</v>
      </c>
      <c r="T1077">
        <v>5.1</v>
      </c>
      <c r="U1077">
        <v>10.5</v>
      </c>
      <c r="V1077">
        <v>620</v>
      </c>
      <c r="X1077" t="s">
        <v>128</v>
      </c>
    </row>
    <row r="1078" spans="1:24">
      <c r="A1078" t="str">
        <f>Hyperlink("https://www.diodes.com/part/view/DMP3050LVTQ","DMP3050LVTQ")</f>
        <v>DMP3050LVTQ</v>
      </c>
      <c r="B1078" t="str">
        <f>Hyperlink("https://www.diodes.com/assets/Datasheets/DMP3050LVTQ.pdf","DMP3050LVTQ Datasheet")</f>
        <v>DMP3050LVTQ Datasheet</v>
      </c>
      <c r="C1078" t="s">
        <v>51</v>
      </c>
      <c r="D1078" t="s">
        <v>25</v>
      </c>
      <c r="E1078" t="s">
        <v>33</v>
      </c>
      <c r="F1078" t="s">
        <v>52</v>
      </c>
      <c r="G1078" t="s">
        <v>28</v>
      </c>
      <c r="H1078">
        <v>30</v>
      </c>
      <c r="I1078">
        <v>25</v>
      </c>
      <c r="J1078">
        <v>4.5</v>
      </c>
      <c r="L1078">
        <v>1.6</v>
      </c>
      <c r="N1078">
        <v>50</v>
      </c>
      <c r="O1078">
        <v>75</v>
      </c>
      <c r="R1078">
        <v>1</v>
      </c>
      <c r="S1078">
        <v>2</v>
      </c>
      <c r="T1078">
        <v>5.1</v>
      </c>
      <c r="U1078">
        <v>10.5</v>
      </c>
      <c r="V1078">
        <v>620</v>
      </c>
      <c r="X1078" t="s">
        <v>128</v>
      </c>
    </row>
    <row r="1079" spans="1:24">
      <c r="A1079" t="str">
        <f>Hyperlink("https://www.diodes.com/part/view/DMP3056L","DMP3056L")</f>
        <v>DMP3056L</v>
      </c>
      <c r="B1079" t="str">
        <f>Hyperlink("https://www.diodes.com/assets/Datasheets/DMP3056L.pdf","DMP3056L Datasheet")</f>
        <v>DMP3056L Datasheet</v>
      </c>
      <c r="C1079" t="s">
        <v>51</v>
      </c>
      <c r="D1079" t="s">
        <v>25</v>
      </c>
      <c r="E1079" t="s">
        <v>26</v>
      </c>
      <c r="F1079" t="s">
        <v>52</v>
      </c>
      <c r="G1079" t="s">
        <v>28</v>
      </c>
      <c r="H1079">
        <v>30</v>
      </c>
      <c r="I1079">
        <v>25</v>
      </c>
      <c r="J1079">
        <v>4.3</v>
      </c>
      <c r="L1079">
        <v>1.38</v>
      </c>
      <c r="N1079">
        <v>50</v>
      </c>
      <c r="O1079">
        <v>70</v>
      </c>
      <c r="S1079">
        <v>2.1</v>
      </c>
      <c r="T1079">
        <v>5.8</v>
      </c>
      <c r="U1079">
        <v>11.8</v>
      </c>
      <c r="V1079">
        <v>642</v>
      </c>
      <c r="W1079">
        <v>25</v>
      </c>
      <c r="X1079" t="s">
        <v>32</v>
      </c>
    </row>
    <row r="1080" spans="1:24">
      <c r="A1080" t="str">
        <f>Hyperlink("https://www.diodes.com/part/view/DMP3056LDM","DMP3056LDM")</f>
        <v>DMP3056LDM</v>
      </c>
      <c r="B1080" t="str">
        <f>Hyperlink("https://www.diodes.com/assets/Datasheets/DMP3056LDM.pdf","DMP3056LDM Datasheet")</f>
        <v>DMP3056LDM Datasheet</v>
      </c>
      <c r="C1080" t="s">
        <v>51</v>
      </c>
      <c r="D1080" t="s">
        <v>25</v>
      </c>
      <c r="E1080" t="s">
        <v>26</v>
      </c>
      <c r="F1080" t="s">
        <v>52</v>
      </c>
      <c r="G1080" t="s">
        <v>28</v>
      </c>
      <c r="H1080">
        <v>30</v>
      </c>
      <c r="I1080">
        <v>20</v>
      </c>
      <c r="J1080">
        <v>4.3</v>
      </c>
      <c r="L1080">
        <v>1.5</v>
      </c>
      <c r="N1080">
        <v>45</v>
      </c>
      <c r="O1080">
        <v>65</v>
      </c>
      <c r="S1080">
        <v>2.1</v>
      </c>
      <c r="T1080">
        <v>10.1</v>
      </c>
      <c r="U1080">
        <v>21.1</v>
      </c>
      <c r="V1080">
        <v>948</v>
      </c>
      <c r="X1080" t="s">
        <v>261</v>
      </c>
    </row>
    <row r="1081" spans="1:24">
      <c r="A1081" t="str">
        <f>Hyperlink("https://www.diodes.com/part/view/DMP3056LSD","DMP3056LSD")</f>
        <v>DMP3056LSD</v>
      </c>
      <c r="B1081" t="str">
        <f>Hyperlink("https://www.diodes.com/assets/Datasheets/ds31420.pdf","DMP3056LSD Datasheet")</f>
        <v>DMP3056LSD Datasheet</v>
      </c>
      <c r="C1081" t="s">
        <v>842</v>
      </c>
      <c r="D1081" t="s">
        <v>25</v>
      </c>
      <c r="E1081" t="s">
        <v>26</v>
      </c>
      <c r="F1081" t="s">
        <v>78</v>
      </c>
      <c r="G1081" t="s">
        <v>28</v>
      </c>
      <c r="H1081">
        <v>30</v>
      </c>
      <c r="I1081">
        <v>20</v>
      </c>
      <c r="J1081">
        <v>6.9</v>
      </c>
      <c r="L1081">
        <v>2.5</v>
      </c>
      <c r="N1081">
        <v>45</v>
      </c>
      <c r="O1081">
        <v>65</v>
      </c>
      <c r="S1081">
        <v>2.1</v>
      </c>
      <c r="T1081">
        <v>6.8</v>
      </c>
      <c r="U1081">
        <v>13.7</v>
      </c>
      <c r="V1081">
        <v>722</v>
      </c>
      <c r="X1081" t="s">
        <v>155</v>
      </c>
    </row>
    <row r="1082" spans="1:24">
      <c r="A1082" t="str">
        <f>Hyperlink("https://www.diodes.com/part/view/DMP3056LSDQ","DMP3056LSDQ")</f>
        <v>DMP3056LSDQ</v>
      </c>
      <c r="B1082" t="str">
        <f>Hyperlink("https://www.diodes.com/assets/Datasheets/DMP3056LSDQ.pdf","DMP3056LSDQ Datasheet")</f>
        <v>DMP3056LSDQ Datasheet</v>
      </c>
      <c r="C1082" t="s">
        <v>842</v>
      </c>
      <c r="D1082" t="s">
        <v>25</v>
      </c>
      <c r="E1082" t="s">
        <v>33</v>
      </c>
      <c r="F1082" t="s">
        <v>78</v>
      </c>
      <c r="G1082" t="s">
        <v>28</v>
      </c>
      <c r="H1082">
        <v>30</v>
      </c>
      <c r="I1082">
        <v>20</v>
      </c>
      <c r="J1082">
        <v>6.9</v>
      </c>
      <c r="L1082">
        <v>2.5</v>
      </c>
      <c r="N1082">
        <v>45</v>
      </c>
      <c r="O1082">
        <v>65</v>
      </c>
      <c r="S1082">
        <v>2.1</v>
      </c>
      <c r="T1082">
        <v>6.8</v>
      </c>
      <c r="U1082">
        <v>13.7</v>
      </c>
      <c r="X1082" t="s">
        <v>155</v>
      </c>
    </row>
    <row r="1083" spans="1:24">
      <c r="A1083" t="str">
        <f>Hyperlink("https://www.diodes.com/part/view/DMP3056LSS","DMP3056LSS")</f>
        <v>DMP3056LSS</v>
      </c>
      <c r="B1083" t="str">
        <f>Hyperlink("https://www.diodes.com/assets/Datasheets/ds31421.pdf","DMP3056LSS Datasheet")</f>
        <v>DMP3056LSS Datasheet</v>
      </c>
      <c r="C1083" t="s">
        <v>51</v>
      </c>
      <c r="D1083" t="s">
        <v>25</v>
      </c>
      <c r="E1083" t="s">
        <v>26</v>
      </c>
      <c r="F1083" t="s">
        <v>52</v>
      </c>
      <c r="G1083" t="s">
        <v>28</v>
      </c>
      <c r="H1083">
        <v>30</v>
      </c>
      <c r="I1083">
        <v>20</v>
      </c>
      <c r="J1083">
        <v>7.1</v>
      </c>
      <c r="L1083">
        <v>2.5</v>
      </c>
      <c r="N1083">
        <v>45</v>
      </c>
      <c r="O1083">
        <v>65</v>
      </c>
      <c r="S1083">
        <v>2.1</v>
      </c>
      <c r="T1083">
        <v>6.8</v>
      </c>
      <c r="U1083">
        <v>13.7</v>
      </c>
      <c r="V1083">
        <v>722</v>
      </c>
      <c r="X1083" t="s">
        <v>155</v>
      </c>
    </row>
    <row r="1084" spans="1:24">
      <c r="A1084" t="str">
        <f>Hyperlink("https://www.diodes.com/part/view/DMP3056LSSQ","DMP3056LSSQ")</f>
        <v>DMP3056LSSQ</v>
      </c>
      <c r="B1084" t="str">
        <f>Hyperlink("https://www.diodes.com/assets/Datasheets/DMP3056LSSQ.pdf","DMP3056LSSQ Datasheet")</f>
        <v>DMP3056LSSQ Datasheet</v>
      </c>
      <c r="C1084" t="s">
        <v>843</v>
      </c>
      <c r="D1084" t="s">
        <v>25</v>
      </c>
      <c r="E1084" t="s">
        <v>33</v>
      </c>
      <c r="F1084" t="s">
        <v>52</v>
      </c>
      <c r="G1084" t="s">
        <v>28</v>
      </c>
      <c r="H1084">
        <v>30</v>
      </c>
      <c r="I1084">
        <v>20</v>
      </c>
      <c r="J1084">
        <v>4.9</v>
      </c>
      <c r="L1084">
        <v>1.6</v>
      </c>
      <c r="N1084">
        <v>45</v>
      </c>
      <c r="O1084">
        <v>65</v>
      </c>
      <c r="S1084">
        <v>2.1</v>
      </c>
      <c r="T1084">
        <v>8.2</v>
      </c>
      <c r="U1084">
        <v>17.3</v>
      </c>
      <c r="V1084">
        <v>969</v>
      </c>
      <c r="W1084">
        <v>15</v>
      </c>
      <c r="X1084" t="s">
        <v>155</v>
      </c>
    </row>
    <row r="1085" spans="1:24">
      <c r="A1085" t="str">
        <f>Hyperlink("https://www.diodes.com/part/view/DMP3065LVT","DMP3065LVT")</f>
        <v>DMP3065LVT</v>
      </c>
      <c r="B1085" t="str">
        <f>Hyperlink("https://www.diodes.com/assets/Datasheets/DMP3065LVT.pdf","DMP3065LVT Datasheet")</f>
        <v>DMP3065LVT Datasheet</v>
      </c>
      <c r="C1085" t="s">
        <v>51</v>
      </c>
      <c r="D1085" t="s">
        <v>25</v>
      </c>
      <c r="E1085" t="s">
        <v>26</v>
      </c>
      <c r="F1085" t="s">
        <v>52</v>
      </c>
      <c r="G1085" t="s">
        <v>25</v>
      </c>
      <c r="H1085">
        <v>30</v>
      </c>
      <c r="I1085">
        <v>20</v>
      </c>
      <c r="J1085">
        <v>5.1</v>
      </c>
      <c r="L1085">
        <v>1.6</v>
      </c>
      <c r="N1085">
        <v>42</v>
      </c>
      <c r="O1085">
        <v>65</v>
      </c>
      <c r="S1085">
        <v>2.1</v>
      </c>
      <c r="T1085">
        <v>6.3</v>
      </c>
      <c r="U1085">
        <v>12.3</v>
      </c>
      <c r="V1085">
        <v>587</v>
      </c>
      <c r="X1085" t="s">
        <v>128</v>
      </c>
    </row>
    <row r="1086" spans="1:24">
      <c r="A1086" t="str">
        <f>Hyperlink("https://www.diodes.com/part/view/DMP3068L","DMP3068L")</f>
        <v>DMP3068L</v>
      </c>
      <c r="B1086" t="str">
        <f>Hyperlink("https://www.diodes.com/assets/Datasheets/DMP3068L.pdf","DMP3068L Datasheet")</f>
        <v>DMP3068L Datasheet</v>
      </c>
      <c r="C1086" t="s">
        <v>503</v>
      </c>
      <c r="D1086" t="s">
        <v>28</v>
      </c>
      <c r="E1086" t="s">
        <v>26</v>
      </c>
      <c r="F1086" t="s">
        <v>52</v>
      </c>
      <c r="G1086" t="s">
        <v>28</v>
      </c>
      <c r="H1086">
        <v>30</v>
      </c>
      <c r="I1086">
        <v>12</v>
      </c>
      <c r="J1086">
        <v>3.3</v>
      </c>
      <c r="L1086">
        <v>1.2</v>
      </c>
      <c r="N1086">
        <v>72</v>
      </c>
      <c r="O1086">
        <v>85</v>
      </c>
      <c r="P1086">
        <v>120</v>
      </c>
      <c r="S1086">
        <v>1.3</v>
      </c>
      <c r="T1086">
        <v>7.3</v>
      </c>
      <c r="U1086">
        <v>15.9</v>
      </c>
      <c r="V1086">
        <v>708</v>
      </c>
      <c r="W1086">
        <v>15</v>
      </c>
      <c r="X1086" t="s">
        <v>32</v>
      </c>
    </row>
    <row r="1087" spans="1:24">
      <c r="A1087" t="str">
        <f>Hyperlink("https://www.diodes.com/part/view/DMP3068LVT","DMP3068LVT")</f>
        <v>DMP3068LVT</v>
      </c>
      <c r="B1087" t="str">
        <f>Hyperlink("https://www.diodes.com/assets/Datasheets/DMP3068LVT.pdf","DMP3068LVT Datasheet")</f>
        <v>DMP3068LVT Datasheet</v>
      </c>
      <c r="C1087" t="s">
        <v>51</v>
      </c>
      <c r="D1087" t="s">
        <v>28</v>
      </c>
      <c r="E1087" t="s">
        <v>26</v>
      </c>
      <c r="F1087" t="s">
        <v>52</v>
      </c>
      <c r="G1087" t="s">
        <v>28</v>
      </c>
      <c r="H1087">
        <v>30</v>
      </c>
      <c r="I1087">
        <v>12</v>
      </c>
      <c r="J1087">
        <v>3.3</v>
      </c>
      <c r="L1087">
        <v>1.8</v>
      </c>
      <c r="N1087">
        <v>75</v>
      </c>
      <c r="O1087">
        <v>105</v>
      </c>
      <c r="P1087">
        <v>150</v>
      </c>
      <c r="S1087">
        <v>1.3</v>
      </c>
      <c r="T1087">
        <v>7.3</v>
      </c>
      <c r="V1087">
        <v>708</v>
      </c>
      <c r="W1087">
        <v>15</v>
      </c>
      <c r="X1087" t="s">
        <v>128</v>
      </c>
    </row>
    <row r="1088" spans="1:24">
      <c r="A1088" t="str">
        <f>Hyperlink("https://www.diodes.com/part/view/DMP3085LSD","DMP3085LSD")</f>
        <v>DMP3085LSD</v>
      </c>
      <c r="B1088" t="str">
        <f>Hyperlink("https://www.diodes.com/assets/Datasheets/DMP3085LSD.pdf","DMP3085LSD Datasheet")</f>
        <v>DMP3085LSD Datasheet</v>
      </c>
      <c r="C1088" t="s">
        <v>77</v>
      </c>
      <c r="D1088" t="s">
        <v>25</v>
      </c>
      <c r="E1088" t="s">
        <v>26</v>
      </c>
      <c r="F1088" t="s">
        <v>78</v>
      </c>
      <c r="G1088" t="s">
        <v>28</v>
      </c>
      <c r="H1088">
        <v>30</v>
      </c>
      <c r="I1088">
        <v>20</v>
      </c>
      <c r="J1088">
        <v>3.9</v>
      </c>
      <c r="L1088">
        <v>1.7</v>
      </c>
      <c r="N1088">
        <v>70</v>
      </c>
      <c r="O1088">
        <v>95</v>
      </c>
      <c r="S1088">
        <v>3</v>
      </c>
      <c r="T1088">
        <v>5.2</v>
      </c>
      <c r="U1088">
        <v>11</v>
      </c>
      <c r="V1088">
        <v>563</v>
      </c>
      <c r="X1088" t="s">
        <v>155</v>
      </c>
    </row>
    <row r="1089" spans="1:24">
      <c r="A1089" t="str">
        <f>Hyperlink("https://www.diodes.com/part/view/DMP3085LSS","DMP3085LSS")</f>
        <v>DMP3085LSS</v>
      </c>
      <c r="B1089" t="str">
        <f>Hyperlink("https://www.diodes.com/assets/Datasheets/DMP3085LSS.pdf","DMP3085LSS Datasheet")</f>
        <v>DMP3085LSS Datasheet</v>
      </c>
      <c r="C1089" t="s">
        <v>51</v>
      </c>
      <c r="D1089" t="s">
        <v>25</v>
      </c>
      <c r="E1089" t="s">
        <v>26</v>
      </c>
      <c r="F1089" t="s">
        <v>52</v>
      </c>
      <c r="G1089" t="s">
        <v>28</v>
      </c>
      <c r="H1089">
        <v>30</v>
      </c>
      <c r="I1089">
        <v>20</v>
      </c>
      <c r="J1089">
        <v>3.8</v>
      </c>
      <c r="L1089">
        <v>1.6</v>
      </c>
      <c r="N1089">
        <v>70</v>
      </c>
      <c r="O1089">
        <v>95</v>
      </c>
      <c r="S1089">
        <v>3</v>
      </c>
      <c r="T1089">
        <v>5.2</v>
      </c>
      <c r="U1089">
        <v>11</v>
      </c>
      <c r="V1089">
        <v>563</v>
      </c>
      <c r="X1089" t="s">
        <v>155</v>
      </c>
    </row>
    <row r="1090" spans="1:24">
      <c r="A1090" t="str">
        <f>Hyperlink("https://www.diodes.com/part/view/DMP3096L","DMP3096L")</f>
        <v>DMP3096L</v>
      </c>
      <c r="B1090" t="str">
        <f>Hyperlink("https://www.diodes.com/assets/Datasheets/DMP3096L.pdf","DMP3096L Datasheet")</f>
        <v>DMP3096L Datasheet</v>
      </c>
      <c r="C1090" t="s">
        <v>777</v>
      </c>
      <c r="D1090" t="s">
        <v>28</v>
      </c>
      <c r="E1090" t="s">
        <v>26</v>
      </c>
      <c r="F1090" t="s">
        <v>52</v>
      </c>
      <c r="G1090" t="s">
        <v>25</v>
      </c>
      <c r="H1090">
        <v>30</v>
      </c>
      <c r="I1090">
        <v>20</v>
      </c>
      <c r="J1090">
        <v>3.4</v>
      </c>
      <c r="L1090">
        <v>1.2</v>
      </c>
      <c r="N1090">
        <v>70</v>
      </c>
      <c r="O1090">
        <v>130</v>
      </c>
      <c r="R1090">
        <v>1</v>
      </c>
      <c r="S1090">
        <v>2.1</v>
      </c>
      <c r="T1090">
        <v>3.8</v>
      </c>
      <c r="U1090">
        <v>7.5</v>
      </c>
      <c r="V1090">
        <v>366</v>
      </c>
      <c r="W1090">
        <v>25</v>
      </c>
      <c r="X1090" t="s">
        <v>32</v>
      </c>
    </row>
    <row r="1091" spans="1:24">
      <c r="A1091" t="str">
        <f>Hyperlink("https://www.diodes.com/part/view/DMP3096LQ","DMP3096LQ")</f>
        <v>DMP3096LQ</v>
      </c>
      <c r="B1091" t="str">
        <f>Hyperlink("https://www.diodes.com/assets/Datasheets/DMP3096LQ.pdf","DMP3096LQ Datasheet")</f>
        <v>DMP3096LQ Datasheet</v>
      </c>
      <c r="C1091" t="s">
        <v>777</v>
      </c>
      <c r="D1091" t="s">
        <v>25</v>
      </c>
      <c r="E1091" t="s">
        <v>33</v>
      </c>
      <c r="F1091" t="s">
        <v>52</v>
      </c>
      <c r="G1091" t="s">
        <v>25</v>
      </c>
      <c r="H1091">
        <v>30</v>
      </c>
      <c r="I1091">
        <v>20</v>
      </c>
      <c r="J1091">
        <v>3.4</v>
      </c>
      <c r="L1091">
        <v>1.2</v>
      </c>
      <c r="N1091">
        <v>70</v>
      </c>
      <c r="O1091">
        <v>130</v>
      </c>
      <c r="R1091">
        <v>1</v>
      </c>
      <c r="S1091">
        <v>2.1</v>
      </c>
      <c r="T1091">
        <v>3.8</v>
      </c>
      <c r="U1091">
        <v>7.5</v>
      </c>
      <c r="V1091">
        <v>366</v>
      </c>
      <c r="W1091">
        <v>25</v>
      </c>
      <c r="X1091" t="s">
        <v>32</v>
      </c>
    </row>
    <row r="1092" spans="1:24">
      <c r="A1092" t="str">
        <f>Hyperlink("https://www.diodes.com/part/view/DMP3097L","DMP3097L")</f>
        <v>DMP3097L</v>
      </c>
      <c r="B1092" t="str">
        <f>Hyperlink("https://www.diodes.com/assets/Datasheets/DMP3097L.pdf","DMP3097L Datasheet")</f>
        <v>DMP3097L Datasheet</v>
      </c>
      <c r="C1092" t="s">
        <v>51</v>
      </c>
      <c r="D1092" t="s">
        <v>28</v>
      </c>
      <c r="E1092" t="s">
        <v>26</v>
      </c>
      <c r="F1092" t="s">
        <v>52</v>
      </c>
      <c r="G1092" t="s">
        <v>28</v>
      </c>
      <c r="H1092">
        <v>30</v>
      </c>
      <c r="I1092">
        <v>20</v>
      </c>
      <c r="J1092">
        <v>2.7</v>
      </c>
      <c r="L1092">
        <v>1.52</v>
      </c>
      <c r="N1092">
        <v>65</v>
      </c>
      <c r="O1092">
        <v>99</v>
      </c>
      <c r="S1092">
        <v>2.1</v>
      </c>
      <c r="T1092">
        <v>6.6</v>
      </c>
      <c r="U1092">
        <v>13.4</v>
      </c>
      <c r="X1092" t="s">
        <v>32</v>
      </c>
    </row>
    <row r="1093" spans="1:24">
      <c r="A1093" t="str">
        <f>Hyperlink("https://www.diodes.com/part/view/DMP3097LQ","DMP3097LQ")</f>
        <v>DMP3097LQ</v>
      </c>
      <c r="B1093" t="str">
        <f>Hyperlink("https://www.diodes.com/assets/Datasheets/DMP3097LQ.pdf","DMP3097LQ Datasheet")</f>
        <v>DMP3097LQ Datasheet</v>
      </c>
      <c r="C1093" t="s">
        <v>51</v>
      </c>
      <c r="D1093" t="s">
        <v>25</v>
      </c>
      <c r="E1093" t="s">
        <v>33</v>
      </c>
      <c r="F1093" t="s">
        <v>52</v>
      </c>
      <c r="G1093" t="s">
        <v>28</v>
      </c>
      <c r="H1093">
        <v>30</v>
      </c>
      <c r="I1093">
        <v>20</v>
      </c>
      <c r="J1093">
        <v>2.7</v>
      </c>
      <c r="L1093">
        <v>1.57</v>
      </c>
      <c r="N1093">
        <v>65</v>
      </c>
      <c r="O1093">
        <v>99</v>
      </c>
      <c r="S1093">
        <v>2.1</v>
      </c>
      <c r="T1093">
        <v>6.6</v>
      </c>
      <c r="U1093">
        <v>13.4</v>
      </c>
      <c r="X1093" t="s">
        <v>32</v>
      </c>
    </row>
    <row r="1094" spans="1:24">
      <c r="A1094" t="str">
        <f>Hyperlink("https://www.diodes.com/part/view/DMP3098L","DMP3098L")</f>
        <v>DMP3098L</v>
      </c>
      <c r="B1094" t="str">
        <f>Hyperlink("https://www.diodes.com/assets/Datasheets/ds31447.pdf","DMP3098L Datasheet")</f>
        <v>DMP3098L Datasheet</v>
      </c>
      <c r="C1094" t="s">
        <v>51</v>
      </c>
      <c r="D1094" t="s">
        <v>25</v>
      </c>
      <c r="E1094" t="s">
        <v>26</v>
      </c>
      <c r="F1094" t="s">
        <v>52</v>
      </c>
      <c r="G1094" t="s">
        <v>28</v>
      </c>
      <c r="H1094">
        <v>30</v>
      </c>
      <c r="I1094">
        <v>20</v>
      </c>
      <c r="J1094">
        <v>3.8</v>
      </c>
      <c r="L1094">
        <v>1.08</v>
      </c>
      <c r="N1094">
        <v>70</v>
      </c>
      <c r="O1094">
        <v>120</v>
      </c>
      <c r="S1094">
        <v>2.1</v>
      </c>
      <c r="T1094">
        <v>4</v>
      </c>
      <c r="U1094">
        <v>7.8</v>
      </c>
      <c r="V1094">
        <v>336</v>
      </c>
      <c r="W1094">
        <v>25</v>
      </c>
      <c r="X1094" t="s">
        <v>32</v>
      </c>
    </row>
    <row r="1095" spans="1:24">
      <c r="A1095" t="str">
        <f>Hyperlink("https://www.diodes.com/part/view/DMP3098LDM","DMP3098LDM")</f>
        <v>DMP3098LDM</v>
      </c>
      <c r="B1095" t="str">
        <f>Hyperlink("https://www.diodes.com/assets/Datasheets/ds31446.pdf","DMP3098LDM Datasheet")</f>
        <v>DMP3098LDM Datasheet</v>
      </c>
      <c r="C1095" t="s">
        <v>51</v>
      </c>
      <c r="D1095" t="s">
        <v>25</v>
      </c>
      <c r="E1095" t="s">
        <v>26</v>
      </c>
      <c r="F1095" t="s">
        <v>52</v>
      </c>
      <c r="G1095" t="s">
        <v>28</v>
      </c>
      <c r="H1095">
        <v>30</v>
      </c>
      <c r="I1095">
        <v>20</v>
      </c>
      <c r="J1095">
        <v>4</v>
      </c>
      <c r="L1095">
        <v>1.25</v>
      </c>
      <c r="N1095">
        <v>65</v>
      </c>
      <c r="O1095">
        <v>115</v>
      </c>
      <c r="S1095">
        <v>2.1</v>
      </c>
      <c r="T1095">
        <v>4</v>
      </c>
      <c r="U1095">
        <v>7.8</v>
      </c>
      <c r="V1095">
        <v>336</v>
      </c>
      <c r="X1095" t="s">
        <v>261</v>
      </c>
    </row>
    <row r="1096" spans="1:24">
      <c r="A1096" t="str">
        <f>Hyperlink("https://www.diodes.com/part/view/DMP3098LQ","DMP3098LQ")</f>
        <v>DMP3098LQ</v>
      </c>
      <c r="B1096" t="str">
        <f>Hyperlink("https://www.diodes.com/assets/Datasheets/DMP3098LQ.pdf","DMP3098LQ Datasheet")</f>
        <v>DMP3098LQ Datasheet</v>
      </c>
      <c r="C1096" t="s">
        <v>503</v>
      </c>
      <c r="D1096" t="s">
        <v>25</v>
      </c>
      <c r="E1096" t="s">
        <v>33</v>
      </c>
      <c r="F1096" t="s">
        <v>52</v>
      </c>
      <c r="G1096" t="s">
        <v>28</v>
      </c>
      <c r="H1096">
        <v>30</v>
      </c>
      <c r="I1096">
        <v>20</v>
      </c>
      <c r="J1096">
        <v>3.8</v>
      </c>
      <c r="L1096">
        <v>1.08</v>
      </c>
      <c r="N1096">
        <v>70</v>
      </c>
      <c r="O1096">
        <v>120</v>
      </c>
      <c r="S1096">
        <v>2.1</v>
      </c>
      <c r="T1096">
        <v>4</v>
      </c>
      <c r="U1096">
        <v>7.8</v>
      </c>
      <c r="V1096">
        <v>336</v>
      </c>
      <c r="W1096">
        <v>25</v>
      </c>
      <c r="X1096" t="s">
        <v>32</v>
      </c>
    </row>
    <row r="1097" spans="1:24">
      <c r="A1097" t="str">
        <f>Hyperlink("https://www.diodes.com/part/view/DMP3098LSD","DMP3098LSD")</f>
        <v>DMP3098LSD</v>
      </c>
      <c r="B1097" t="str">
        <f>Hyperlink("https://www.diodes.com/assets/Datasheets/ds31448.pdf","DMP3098LSD Datasheet")</f>
        <v>DMP3098LSD Datasheet</v>
      </c>
      <c r="C1097" t="s">
        <v>77</v>
      </c>
      <c r="D1097" t="s">
        <v>25</v>
      </c>
      <c r="E1097" t="s">
        <v>26</v>
      </c>
      <c r="F1097" t="s">
        <v>78</v>
      </c>
      <c r="G1097" t="s">
        <v>28</v>
      </c>
      <c r="H1097">
        <v>30</v>
      </c>
      <c r="I1097">
        <v>20</v>
      </c>
      <c r="J1097">
        <v>4.4</v>
      </c>
      <c r="L1097">
        <v>1.8</v>
      </c>
      <c r="N1097">
        <v>65</v>
      </c>
      <c r="O1097">
        <v>115</v>
      </c>
      <c r="S1097">
        <v>2.1</v>
      </c>
      <c r="T1097">
        <v>4</v>
      </c>
      <c r="U1097">
        <v>7.8</v>
      </c>
      <c r="V1097">
        <v>336</v>
      </c>
      <c r="X1097" t="s">
        <v>155</v>
      </c>
    </row>
    <row r="1098" spans="1:24">
      <c r="A1098" t="str">
        <f>Hyperlink("https://www.diodes.com/part/view/DMP3098LSS","DMP3098LSS")</f>
        <v>DMP3098LSS</v>
      </c>
      <c r="B1098" t="str">
        <f>Hyperlink("https://www.diodes.com/assets/Datasheets/ds31265.pdf","DMP3098LSS Datasheet")</f>
        <v>DMP3098LSS Datasheet</v>
      </c>
      <c r="C1098" t="s">
        <v>51</v>
      </c>
      <c r="D1098" t="s">
        <v>25</v>
      </c>
      <c r="E1098" t="s">
        <v>26</v>
      </c>
      <c r="F1098" t="s">
        <v>52</v>
      </c>
      <c r="G1098" t="s">
        <v>28</v>
      </c>
      <c r="H1098">
        <v>30</v>
      </c>
      <c r="I1098">
        <v>20</v>
      </c>
      <c r="J1098">
        <v>5.3</v>
      </c>
      <c r="L1098">
        <v>2.5</v>
      </c>
      <c r="N1098">
        <v>65</v>
      </c>
      <c r="O1098">
        <v>115</v>
      </c>
      <c r="S1098">
        <v>2.1</v>
      </c>
      <c r="T1098">
        <v>4</v>
      </c>
      <c r="U1098">
        <v>7.8</v>
      </c>
      <c r="V1098">
        <v>336</v>
      </c>
      <c r="X1098" t="s">
        <v>155</v>
      </c>
    </row>
    <row r="1099" spans="1:24">
      <c r="A1099" t="str">
        <f>Hyperlink("https://www.diodes.com/part/view/DMP3099L","DMP3099L")</f>
        <v>DMP3099L</v>
      </c>
      <c r="B1099" t="str">
        <f>Hyperlink("https://www.diodes.com/assets/Datasheets/DMP3099L.pdf","DMP3099L Datasheet")</f>
        <v>DMP3099L Datasheet</v>
      </c>
      <c r="C1099" t="s">
        <v>51</v>
      </c>
      <c r="D1099" t="s">
        <v>25</v>
      </c>
      <c r="E1099" t="s">
        <v>26</v>
      </c>
      <c r="F1099" t="s">
        <v>52</v>
      </c>
      <c r="G1099" t="s">
        <v>28</v>
      </c>
      <c r="H1099">
        <v>30</v>
      </c>
      <c r="I1099">
        <v>20</v>
      </c>
      <c r="J1099">
        <v>3.8</v>
      </c>
      <c r="L1099">
        <v>1.08</v>
      </c>
      <c r="N1099">
        <v>65</v>
      </c>
      <c r="O1099">
        <v>99</v>
      </c>
      <c r="S1099">
        <v>2.1</v>
      </c>
      <c r="T1099">
        <v>5.2</v>
      </c>
      <c r="U1099">
        <v>11</v>
      </c>
      <c r="V1099">
        <v>563</v>
      </c>
      <c r="X1099" t="s">
        <v>32</v>
      </c>
    </row>
    <row r="1100" spans="1:24">
      <c r="A1100" t="str">
        <f>Hyperlink("https://www.diodes.com/part/view/DMP3099LQ","DMP3099LQ")</f>
        <v>DMP3099LQ</v>
      </c>
      <c r="B1100" t="str">
        <f>Hyperlink("https://www.diodes.com/assets/Datasheets/DMP3099LQ.pdf","DMP3099LQ Datasheet")</f>
        <v>DMP3099LQ Datasheet</v>
      </c>
      <c r="C1100" t="s">
        <v>51</v>
      </c>
      <c r="D1100" t="s">
        <v>25</v>
      </c>
      <c r="E1100" t="s">
        <v>33</v>
      </c>
      <c r="F1100" t="s">
        <v>52</v>
      </c>
      <c r="G1100" t="s">
        <v>28</v>
      </c>
      <c r="H1100">
        <v>30</v>
      </c>
      <c r="I1100">
        <v>20</v>
      </c>
      <c r="J1100">
        <v>3.8</v>
      </c>
      <c r="L1100">
        <v>1.08</v>
      </c>
      <c r="N1100">
        <v>65</v>
      </c>
      <c r="O1100">
        <v>99</v>
      </c>
      <c r="S1100">
        <v>2.1</v>
      </c>
      <c r="T1100">
        <v>5.2</v>
      </c>
      <c r="U1100">
        <v>11</v>
      </c>
      <c r="X1100" t="s">
        <v>32</v>
      </c>
    </row>
    <row r="1101" spans="1:24">
      <c r="A1101" t="str">
        <f>Hyperlink("https://www.diodes.com/part/view/DMP3105LVT","DMP3105LVT")</f>
        <v>DMP3105LVT</v>
      </c>
      <c r="B1101" t="str">
        <f>Hyperlink("https://www.diodes.com/assets/Datasheets/DMP3105LVT.pdf","DMP3105LVT Datasheet")</f>
        <v>DMP3105LVT Datasheet</v>
      </c>
      <c r="C1101" t="s">
        <v>51</v>
      </c>
      <c r="D1101" t="s">
        <v>25</v>
      </c>
      <c r="E1101" t="s">
        <v>26</v>
      </c>
      <c r="F1101" t="s">
        <v>52</v>
      </c>
      <c r="G1101" t="s">
        <v>28</v>
      </c>
      <c r="H1101">
        <v>30</v>
      </c>
      <c r="I1101">
        <v>12</v>
      </c>
      <c r="J1101">
        <v>3.9</v>
      </c>
      <c r="L1101">
        <v>1.75</v>
      </c>
      <c r="N1101">
        <v>75</v>
      </c>
      <c r="O1101">
        <v>98</v>
      </c>
      <c r="P1101">
        <v>150</v>
      </c>
      <c r="S1101">
        <v>1.5</v>
      </c>
      <c r="T1101">
        <v>9</v>
      </c>
      <c r="U1101">
        <v>19.8</v>
      </c>
      <c r="V1101">
        <v>839</v>
      </c>
      <c r="X1101" t="s">
        <v>128</v>
      </c>
    </row>
    <row r="1102" spans="1:24">
      <c r="A1102" t="str">
        <f>Hyperlink("https://www.diodes.com/part/view/DMP3125L","DMP3125L")</f>
        <v>DMP3125L</v>
      </c>
      <c r="B1102" t="str">
        <f>Hyperlink("https://www.diodes.com/assets/Datasheets/DMP3125L.pdf","DMP3125L Datasheet")</f>
        <v>DMP3125L Datasheet</v>
      </c>
      <c r="C1102" t="s">
        <v>503</v>
      </c>
      <c r="D1102" t="s">
        <v>28</v>
      </c>
      <c r="E1102" t="s">
        <v>26</v>
      </c>
      <c r="F1102" t="s">
        <v>52</v>
      </c>
      <c r="G1102" t="s">
        <v>28</v>
      </c>
      <c r="H1102">
        <v>30</v>
      </c>
      <c r="I1102">
        <v>20</v>
      </c>
      <c r="J1102">
        <v>2.5</v>
      </c>
      <c r="L1102">
        <v>1.2</v>
      </c>
      <c r="N1102">
        <v>95</v>
      </c>
      <c r="O1102">
        <v>145</v>
      </c>
      <c r="S1102">
        <v>2.1</v>
      </c>
      <c r="T1102">
        <v>3.1</v>
      </c>
      <c r="V1102">
        <v>254</v>
      </c>
      <c r="W1102">
        <v>25</v>
      </c>
      <c r="X1102" t="s">
        <v>32</v>
      </c>
    </row>
    <row r="1103" spans="1:24">
      <c r="A1103" t="str">
        <f>Hyperlink("https://www.diodes.com/part/view/DMP3130LQ","DMP3130LQ")</f>
        <v>DMP3130LQ</v>
      </c>
      <c r="B1103" t="str">
        <f>Hyperlink("https://www.diodes.com/assets/Datasheets/DMP3130LQ.pdf","DMP3130LQ Datasheet")</f>
        <v>DMP3130LQ Datasheet</v>
      </c>
      <c r="C1103" t="s">
        <v>51</v>
      </c>
      <c r="D1103" t="s">
        <v>25</v>
      </c>
      <c r="E1103" t="s">
        <v>33</v>
      </c>
      <c r="F1103" t="s">
        <v>52</v>
      </c>
      <c r="G1103" t="s">
        <v>28</v>
      </c>
      <c r="H1103">
        <v>30</v>
      </c>
      <c r="I1103">
        <v>12</v>
      </c>
      <c r="J1103">
        <v>3.5</v>
      </c>
      <c r="L1103">
        <v>1.3</v>
      </c>
      <c r="N1103">
        <v>77</v>
      </c>
      <c r="O1103">
        <v>95</v>
      </c>
      <c r="P1103">
        <v>150</v>
      </c>
      <c r="S1103">
        <v>1.3</v>
      </c>
      <c r="T1103">
        <v>5.9</v>
      </c>
      <c r="U1103">
        <v>12</v>
      </c>
      <c r="V1103">
        <v>432</v>
      </c>
      <c r="W1103">
        <v>15</v>
      </c>
      <c r="X1103" t="s">
        <v>32</v>
      </c>
    </row>
    <row r="1104" spans="1:24">
      <c r="A1104" t="str">
        <f>Hyperlink("https://www.diodes.com/part/view/DMP3160L","DMP3160L")</f>
        <v>DMP3160L</v>
      </c>
      <c r="B1104" t="str">
        <f>Hyperlink("https://www.diodes.com/assets/Datasheets/DMP3160L.pdf","DMP3160L Datasheet")</f>
        <v>DMP3160L Datasheet</v>
      </c>
      <c r="C1104" t="s">
        <v>51</v>
      </c>
      <c r="D1104" t="s">
        <v>25</v>
      </c>
      <c r="E1104" t="s">
        <v>26</v>
      </c>
      <c r="F1104" t="s">
        <v>52</v>
      </c>
      <c r="G1104" t="s">
        <v>28</v>
      </c>
      <c r="H1104">
        <v>30</v>
      </c>
      <c r="I1104">
        <v>20</v>
      </c>
      <c r="J1104">
        <v>2.7</v>
      </c>
      <c r="L1104">
        <v>1.08</v>
      </c>
      <c r="N1104">
        <v>122</v>
      </c>
      <c r="O1104">
        <v>190</v>
      </c>
      <c r="S1104">
        <v>2.1</v>
      </c>
      <c r="T1104">
        <v>4</v>
      </c>
      <c r="U1104">
        <v>8.2</v>
      </c>
      <c r="X1104" t="s">
        <v>32</v>
      </c>
    </row>
    <row r="1105" spans="1:24">
      <c r="A1105" t="str">
        <f>Hyperlink("https://www.diodes.com/part/view/DMP3164LVT","DMP3164LVT")</f>
        <v>DMP3164LVT</v>
      </c>
      <c r="B1105" t="str">
        <f>Hyperlink("https://www.diodes.com/assets/Datasheets/DMP3164LVT.pdf","DMP3164LVT Datasheet")</f>
        <v>DMP3164LVT Datasheet</v>
      </c>
      <c r="C1105" t="s">
        <v>80</v>
      </c>
      <c r="D1105" t="s">
        <v>28</v>
      </c>
      <c r="E1105" t="s">
        <v>26</v>
      </c>
      <c r="F1105" t="s">
        <v>78</v>
      </c>
      <c r="G1105" t="s">
        <v>28</v>
      </c>
      <c r="H1105">
        <v>30</v>
      </c>
      <c r="I1105">
        <v>12</v>
      </c>
      <c r="J1105">
        <v>2.8</v>
      </c>
      <c r="L1105">
        <v>1.16</v>
      </c>
      <c r="N1105">
        <v>95</v>
      </c>
      <c r="O1105">
        <v>140</v>
      </c>
      <c r="S1105">
        <v>2.1</v>
      </c>
      <c r="T1105">
        <v>4.4</v>
      </c>
      <c r="U1105">
        <v>8.6</v>
      </c>
      <c r="V1105">
        <v>324</v>
      </c>
      <c r="X1105" t="s">
        <v>128</v>
      </c>
    </row>
    <row r="1106" spans="1:24">
      <c r="A1106" t="str">
        <f>Hyperlink("https://www.diodes.com/part/view/DMP3165L","DMP3165L")</f>
        <v>DMP3165L</v>
      </c>
      <c r="B1106" t="str">
        <f>Hyperlink("https://www.diodes.com/assets/Datasheets/DMP3165L.pdf","DMP3165L Datasheet")</f>
        <v>DMP3165L Datasheet</v>
      </c>
      <c r="C1106" t="s">
        <v>51</v>
      </c>
      <c r="D1106" t="s">
        <v>28</v>
      </c>
      <c r="E1106" t="s">
        <v>26</v>
      </c>
      <c r="F1106" t="s">
        <v>52</v>
      </c>
      <c r="G1106" t="s">
        <v>28</v>
      </c>
      <c r="H1106">
        <v>30</v>
      </c>
      <c r="I1106">
        <v>20</v>
      </c>
      <c r="J1106">
        <v>3.3</v>
      </c>
      <c r="L1106">
        <v>1.3</v>
      </c>
      <c r="N1106">
        <v>90</v>
      </c>
      <c r="O1106">
        <v>134</v>
      </c>
      <c r="S1106">
        <v>2.1</v>
      </c>
      <c r="T1106">
        <v>1</v>
      </c>
      <c r="U1106">
        <v>2</v>
      </c>
      <c r="V1106">
        <v>300</v>
      </c>
      <c r="W1106">
        <v>10</v>
      </c>
      <c r="X1106" t="s">
        <v>32</v>
      </c>
    </row>
    <row r="1107" spans="1:24">
      <c r="A1107" t="str">
        <f>Hyperlink("https://www.diodes.com/part/view/DMP3165LQ","DMP3165LQ")</f>
        <v>DMP3165LQ</v>
      </c>
      <c r="B1107" t="str">
        <f>Hyperlink("https://www.diodes.com/assets/Datasheets/DMP3165LQ.pdf","DMP3165LQ Datasheet")</f>
        <v>DMP3165LQ Datasheet</v>
      </c>
      <c r="C1107" t="s">
        <v>51</v>
      </c>
      <c r="D1107" t="s">
        <v>25</v>
      </c>
      <c r="E1107" t="s">
        <v>33</v>
      </c>
      <c r="F1107" t="s">
        <v>52</v>
      </c>
      <c r="G1107" t="s">
        <v>28</v>
      </c>
      <c r="H1107">
        <v>30</v>
      </c>
      <c r="I1107">
        <v>20</v>
      </c>
      <c r="J1107">
        <v>3.3</v>
      </c>
      <c r="L1107">
        <v>1.3</v>
      </c>
      <c r="N1107">
        <v>90</v>
      </c>
      <c r="O1107">
        <v>134</v>
      </c>
      <c r="R1107">
        <v>1.3</v>
      </c>
      <c r="S1107">
        <v>2.1</v>
      </c>
      <c r="T1107">
        <v>1</v>
      </c>
      <c r="U1107">
        <v>2</v>
      </c>
      <c r="V1107">
        <v>300</v>
      </c>
      <c r="W1107">
        <v>10</v>
      </c>
      <c r="X1107" t="s">
        <v>32</v>
      </c>
    </row>
    <row r="1108" spans="1:24">
      <c r="A1108" t="str">
        <f>Hyperlink("https://www.diodes.com/part/view/DMP3165SVTQ","DMP3165SVTQ")</f>
        <v>DMP3165SVTQ</v>
      </c>
      <c r="B1108" t="str">
        <f>Hyperlink("https://www.diodes.com/assets/Datasheets/DMP3165SVTQ.pdf","DMP3165SVTQ Datasheet")</f>
        <v>DMP3165SVTQ Datasheet</v>
      </c>
      <c r="C1108" t="s">
        <v>816</v>
      </c>
      <c r="D1108" t="s">
        <v>25</v>
      </c>
      <c r="E1108" t="s">
        <v>33</v>
      </c>
      <c r="F1108" t="s">
        <v>78</v>
      </c>
      <c r="G1108" t="s">
        <v>25</v>
      </c>
      <c r="H1108">
        <v>30</v>
      </c>
      <c r="I1108">
        <v>20</v>
      </c>
      <c r="J1108">
        <v>2.7</v>
      </c>
      <c r="L1108">
        <v>1.08</v>
      </c>
      <c r="N1108">
        <v>95</v>
      </c>
      <c r="O1108">
        <v>140</v>
      </c>
      <c r="R1108">
        <v>0.5</v>
      </c>
      <c r="S1108">
        <v>2.2</v>
      </c>
      <c r="T1108">
        <v>3.5</v>
      </c>
      <c r="U1108">
        <v>6.9</v>
      </c>
      <c r="V1108">
        <v>287</v>
      </c>
      <c r="W1108">
        <v>15</v>
      </c>
      <c r="X1108" t="s">
        <v>128</v>
      </c>
    </row>
    <row r="1109" spans="1:24">
      <c r="A1109" t="str">
        <f>Hyperlink("https://www.diodes.com/part/view/DMP31D0U","DMP31D0U")</f>
        <v>DMP31D0U</v>
      </c>
      <c r="B1109" t="str">
        <f>Hyperlink("https://www.diodes.com/assets/Datasheets/DMP31D0U.pdf","DMP31D0U Datasheet")</f>
        <v>DMP31D0U Datasheet</v>
      </c>
      <c r="C1109" t="s">
        <v>51</v>
      </c>
      <c r="D1109" t="s">
        <v>25</v>
      </c>
      <c r="E1109" t="s">
        <v>26</v>
      </c>
      <c r="F1109" t="s">
        <v>52</v>
      </c>
      <c r="G1109" t="s">
        <v>25</v>
      </c>
      <c r="H1109">
        <v>30</v>
      </c>
      <c r="I1109">
        <v>8</v>
      </c>
      <c r="J1109">
        <v>0.67</v>
      </c>
      <c r="L1109">
        <v>0.71</v>
      </c>
      <c r="O1109">
        <v>1000</v>
      </c>
      <c r="P1109">
        <v>1500</v>
      </c>
      <c r="Q1109">
        <v>2000</v>
      </c>
      <c r="S1109">
        <v>1.1</v>
      </c>
      <c r="T1109">
        <v>0.9</v>
      </c>
      <c r="U1109" t="s">
        <v>844</v>
      </c>
      <c r="V1109">
        <v>76</v>
      </c>
      <c r="X1109" t="s">
        <v>32</v>
      </c>
    </row>
    <row r="1110" spans="1:24">
      <c r="A1110" t="str">
        <f>Hyperlink("https://www.diodes.com/part/view/DMP31D0UFB4","DMP31D0UFB4")</f>
        <v>DMP31D0UFB4</v>
      </c>
      <c r="B1110" t="str">
        <f>Hyperlink("https://www.diodes.com/assets/Datasheets/DMP31D0UFB4.pdf","DMP31D0UFB4 Datasheet")</f>
        <v>DMP31D0UFB4 Datasheet</v>
      </c>
      <c r="C1110" t="s">
        <v>51</v>
      </c>
      <c r="D1110" t="s">
        <v>25</v>
      </c>
      <c r="E1110" t="s">
        <v>26</v>
      </c>
      <c r="F1110" t="s">
        <v>52</v>
      </c>
      <c r="G1110" t="s">
        <v>25</v>
      </c>
      <c r="H1110">
        <v>30</v>
      </c>
      <c r="I1110">
        <v>8</v>
      </c>
      <c r="J1110">
        <v>0.76</v>
      </c>
      <c r="L1110">
        <v>0.92</v>
      </c>
      <c r="O1110">
        <v>1000</v>
      </c>
      <c r="P1110">
        <v>1500</v>
      </c>
      <c r="Q1110">
        <v>2000</v>
      </c>
      <c r="S1110">
        <v>1.1</v>
      </c>
      <c r="T1110">
        <v>0.9</v>
      </c>
      <c r="U1110" t="s">
        <v>844</v>
      </c>
      <c r="V1110">
        <v>76</v>
      </c>
      <c r="X1110" t="s">
        <v>615</v>
      </c>
    </row>
    <row r="1111" spans="1:24">
      <c r="A1111" t="str">
        <f>Hyperlink("https://www.diodes.com/part/view/DMP31D1U","DMP31D1U")</f>
        <v>DMP31D1U</v>
      </c>
      <c r="B1111" t="str">
        <f>Hyperlink("https://www.diodes.com/assets/Datasheets/DMP31D1U.pdf","DMP31D1U Datasheet")</f>
        <v>DMP31D1U Datasheet</v>
      </c>
      <c r="C1111" t="s">
        <v>838</v>
      </c>
      <c r="D1111" t="s">
        <v>28</v>
      </c>
      <c r="E1111" t="s">
        <v>26</v>
      </c>
      <c r="F1111" t="s">
        <v>52</v>
      </c>
      <c r="G1111" t="s">
        <v>25</v>
      </c>
      <c r="H1111">
        <v>30</v>
      </c>
      <c r="I1111">
        <v>8</v>
      </c>
      <c r="J1111">
        <v>0.62</v>
      </c>
      <c r="L1111">
        <v>0.58</v>
      </c>
      <c r="O1111">
        <v>1000</v>
      </c>
      <c r="P1111">
        <v>1500</v>
      </c>
      <c r="Q1111">
        <v>2000</v>
      </c>
      <c r="R1111">
        <v>0.5</v>
      </c>
      <c r="S1111">
        <v>1.1</v>
      </c>
      <c r="T1111">
        <v>1</v>
      </c>
      <c r="V1111">
        <v>54</v>
      </c>
      <c r="W1111">
        <v>15</v>
      </c>
      <c r="X1111" t="s">
        <v>32</v>
      </c>
    </row>
    <row r="1112" spans="1:24">
      <c r="A1112" t="str">
        <f>Hyperlink("https://www.diodes.com/part/view/DMP31D1UDW","DMP31D1UDW")</f>
        <v>DMP31D1UDW</v>
      </c>
      <c r="B1112" t="str">
        <f>Hyperlink("https://www.diodes.com/assets/Datasheets/DMP31D1UDW.pdf","DMP31D1UDW Datasheet")</f>
        <v>DMP31D1UDW Datasheet</v>
      </c>
      <c r="C1112" t="s">
        <v>816</v>
      </c>
      <c r="D1112" t="s">
        <v>28</v>
      </c>
      <c r="E1112" t="s">
        <v>26</v>
      </c>
      <c r="F1112" t="s">
        <v>78</v>
      </c>
      <c r="G1112" t="s">
        <v>28</v>
      </c>
      <c r="H1112">
        <v>30</v>
      </c>
      <c r="I1112">
        <v>8</v>
      </c>
      <c r="J1112">
        <v>0.6</v>
      </c>
      <c r="L1112">
        <v>0.57</v>
      </c>
      <c r="O1112">
        <v>1000</v>
      </c>
      <c r="P1112">
        <v>1500</v>
      </c>
      <c r="Q1112">
        <v>2000</v>
      </c>
      <c r="R1112">
        <v>0.5</v>
      </c>
      <c r="S1112">
        <v>1.1</v>
      </c>
      <c r="T1112">
        <v>1</v>
      </c>
      <c r="V1112">
        <v>54</v>
      </c>
      <c r="W1112">
        <v>15</v>
      </c>
      <c r="X1112" t="s">
        <v>37</v>
      </c>
    </row>
    <row r="1113" spans="1:24">
      <c r="A1113" t="str">
        <f>Hyperlink("https://www.diodes.com/part/view/DMP31D1UDWQ","DMP31D1UDWQ")</f>
        <v>DMP31D1UDWQ</v>
      </c>
      <c r="B1113" t="str">
        <f>Hyperlink("https://www.diodes.com/assets/Datasheets/DMP31D1UDWQ.pdf","DMP31D1UDWQ Datasheet")</f>
        <v>DMP31D1UDWQ Datasheet</v>
      </c>
      <c r="C1113" t="s">
        <v>816</v>
      </c>
      <c r="D1113" t="s">
        <v>25</v>
      </c>
      <c r="E1113" t="s">
        <v>33</v>
      </c>
      <c r="F1113" t="s">
        <v>78</v>
      </c>
      <c r="G1113" t="s">
        <v>28</v>
      </c>
      <c r="H1113">
        <v>30</v>
      </c>
      <c r="I1113">
        <v>8</v>
      </c>
      <c r="J1113">
        <v>0.6</v>
      </c>
      <c r="L1113">
        <v>0.57</v>
      </c>
      <c r="O1113">
        <v>1000</v>
      </c>
      <c r="P1113">
        <v>1500</v>
      </c>
      <c r="Q1113">
        <v>2000</v>
      </c>
      <c r="R1113">
        <v>0.5</v>
      </c>
      <c r="S1113">
        <v>1.1</v>
      </c>
      <c r="T1113">
        <v>1</v>
      </c>
      <c r="V1113">
        <v>54</v>
      </c>
      <c r="W1113">
        <v>15</v>
      </c>
      <c r="X1113" t="s">
        <v>37</v>
      </c>
    </row>
    <row r="1114" spans="1:24">
      <c r="A1114" t="str">
        <f>Hyperlink("https://www.diodes.com/part/view/DMP31D1UFB4","DMP31D1UFB4")</f>
        <v>DMP31D1UFB4</v>
      </c>
      <c r="B1114" t="str">
        <f>Hyperlink("https://www.diodes.com/assets/Datasheets/DMP31D1UFB4.pdf","DMP31D1UFB4 Datasheet")</f>
        <v>DMP31D1UFB4 Datasheet</v>
      </c>
      <c r="C1114" t="s">
        <v>838</v>
      </c>
      <c r="D1114" t="s">
        <v>28</v>
      </c>
      <c r="E1114" t="s">
        <v>26</v>
      </c>
      <c r="F1114" t="s">
        <v>52</v>
      </c>
      <c r="G1114" t="s">
        <v>25</v>
      </c>
      <c r="H1114">
        <v>30</v>
      </c>
      <c r="I1114">
        <v>8</v>
      </c>
      <c r="J1114">
        <v>0.9</v>
      </c>
      <c r="L1114">
        <v>1.2</v>
      </c>
      <c r="O1114">
        <v>1000</v>
      </c>
      <c r="P1114">
        <v>1500</v>
      </c>
      <c r="Q1114">
        <v>2000</v>
      </c>
      <c r="R1114">
        <v>0.5</v>
      </c>
      <c r="S1114">
        <v>1.1</v>
      </c>
      <c r="T1114">
        <v>1</v>
      </c>
      <c r="V1114">
        <v>54</v>
      </c>
      <c r="W1114">
        <v>15</v>
      </c>
      <c r="X1114" t="s">
        <v>615</v>
      </c>
    </row>
    <row r="1115" spans="1:24">
      <c r="A1115" t="str">
        <f>Hyperlink("https://www.diodes.com/part/view/DMP31D1UFB4Q","DMP31D1UFB4Q")</f>
        <v>DMP31D1UFB4Q</v>
      </c>
      <c r="B1115" t="str">
        <f>Hyperlink("https://www.diodes.com/assets/Datasheets/DMP31D1UFB4Q.pdf","DMP31D1UFB4Q Datasheet")</f>
        <v>DMP31D1UFB4Q Datasheet</v>
      </c>
      <c r="C1115" t="s">
        <v>838</v>
      </c>
      <c r="D1115" t="s">
        <v>25</v>
      </c>
      <c r="E1115" t="s">
        <v>33</v>
      </c>
      <c r="F1115" t="s">
        <v>52</v>
      </c>
      <c r="G1115" t="s">
        <v>25</v>
      </c>
      <c r="H1115">
        <v>30</v>
      </c>
      <c r="I1115">
        <v>8</v>
      </c>
      <c r="J1115">
        <v>0.9</v>
      </c>
      <c r="L1115">
        <v>1.2</v>
      </c>
      <c r="O1115">
        <v>1000</v>
      </c>
      <c r="P1115">
        <v>1500</v>
      </c>
      <c r="Q1115">
        <v>2000</v>
      </c>
      <c r="R1115">
        <v>0.5</v>
      </c>
      <c r="S1115">
        <v>1.1</v>
      </c>
      <c r="T1115">
        <v>1</v>
      </c>
      <c r="V1115">
        <v>54</v>
      </c>
      <c r="W1115">
        <v>15</v>
      </c>
      <c r="X1115" t="s">
        <v>615</v>
      </c>
    </row>
    <row r="1116" spans="1:24">
      <c r="A1116" t="str">
        <f>Hyperlink("https://www.diodes.com/part/view/DMP31D1UQ","DMP31D1UQ")</f>
        <v>DMP31D1UQ</v>
      </c>
      <c r="B1116" t="str">
        <f>Hyperlink("https://www.diodes.com/assets/Datasheets/DMP31D1UQ.pdf","DMP31D1UQ Datasheet")</f>
        <v>DMP31D1UQ Datasheet</v>
      </c>
      <c r="C1116" t="s">
        <v>838</v>
      </c>
      <c r="D1116" t="s">
        <v>25</v>
      </c>
      <c r="E1116" t="s">
        <v>33</v>
      </c>
      <c r="F1116" t="s">
        <v>52</v>
      </c>
      <c r="G1116" t="s">
        <v>25</v>
      </c>
      <c r="H1116">
        <v>30</v>
      </c>
      <c r="I1116">
        <v>8</v>
      </c>
      <c r="J1116">
        <v>0.62</v>
      </c>
      <c r="L1116">
        <v>0.58</v>
      </c>
      <c r="O1116">
        <v>1000</v>
      </c>
      <c r="P1116">
        <v>1500</v>
      </c>
      <c r="Q1116">
        <v>2000</v>
      </c>
      <c r="R1116">
        <v>0.5</v>
      </c>
      <c r="S1116">
        <v>1.1</v>
      </c>
      <c r="T1116">
        <v>1</v>
      </c>
      <c r="V1116">
        <v>54</v>
      </c>
      <c r="W1116">
        <v>15</v>
      </c>
      <c r="X1116" t="s">
        <v>32</v>
      </c>
    </row>
    <row r="1117" spans="1:24">
      <c r="A1117" t="str">
        <f>Hyperlink("https://www.diodes.com/part/view/DMP31D1UVT","DMP31D1UVT")</f>
        <v>DMP31D1UVT</v>
      </c>
      <c r="B1117" t="str">
        <f>Hyperlink("https://www.diodes.com/assets/Datasheets/DMP31D1UVT.pdf","DMP31D1UVT Datasheet")</f>
        <v>DMP31D1UVT Datasheet</v>
      </c>
      <c r="C1117" t="s">
        <v>816</v>
      </c>
      <c r="D1117" t="s">
        <v>28</v>
      </c>
      <c r="E1117" t="s">
        <v>26</v>
      </c>
      <c r="F1117" t="s">
        <v>78</v>
      </c>
      <c r="G1117" t="s">
        <v>28</v>
      </c>
      <c r="H1117">
        <v>30</v>
      </c>
      <c r="I1117">
        <v>8</v>
      </c>
      <c r="J1117">
        <v>0.7</v>
      </c>
      <c r="L1117">
        <v>0.9</v>
      </c>
      <c r="O1117">
        <v>1000</v>
      </c>
      <c r="P1117">
        <v>1500</v>
      </c>
      <c r="Q1117">
        <v>2000</v>
      </c>
      <c r="R1117">
        <v>0.5</v>
      </c>
      <c r="S1117">
        <v>1.1</v>
      </c>
      <c r="T1117">
        <v>1</v>
      </c>
      <c r="V1117">
        <v>50</v>
      </c>
      <c r="W1117">
        <v>15</v>
      </c>
      <c r="X1117" t="s">
        <v>128</v>
      </c>
    </row>
    <row r="1118" spans="1:24">
      <c r="A1118" t="str">
        <f>Hyperlink("https://www.diodes.com/part/view/DMP31D1UVTQ","DMP31D1UVTQ")</f>
        <v>DMP31D1UVTQ</v>
      </c>
      <c r="B1118" t="str">
        <f>Hyperlink("https://www.diodes.com/assets/Datasheets/DMP31D1UVTQ.pdf","DMP31D1UVTQ Datasheet")</f>
        <v>DMP31D1UVTQ Datasheet</v>
      </c>
      <c r="C1118" t="s">
        <v>816</v>
      </c>
      <c r="D1118" t="s">
        <v>25</v>
      </c>
      <c r="E1118" t="s">
        <v>33</v>
      </c>
      <c r="F1118" t="s">
        <v>78</v>
      </c>
      <c r="G1118" t="s">
        <v>28</v>
      </c>
      <c r="H1118">
        <v>30</v>
      </c>
      <c r="I1118">
        <v>8</v>
      </c>
      <c r="J1118">
        <v>0.7</v>
      </c>
      <c r="L1118">
        <v>0.9</v>
      </c>
      <c r="O1118">
        <v>1000</v>
      </c>
      <c r="P1118">
        <v>1500</v>
      </c>
      <c r="Q1118">
        <v>2000</v>
      </c>
      <c r="R1118">
        <v>0.5</v>
      </c>
      <c r="S1118">
        <v>1.1</v>
      </c>
      <c r="T1118">
        <v>1</v>
      </c>
      <c r="V1118">
        <v>50</v>
      </c>
      <c r="W1118">
        <v>15</v>
      </c>
      <c r="X1118" t="s">
        <v>128</v>
      </c>
    </row>
    <row r="1119" spans="1:24">
      <c r="A1119" t="str">
        <f>Hyperlink("https://www.diodes.com/part/view/DMP31D1UW","DMP31D1UW")</f>
        <v>DMP31D1UW</v>
      </c>
      <c r="B1119" t="str">
        <f>Hyperlink("https://www.diodes.com/assets/Datasheets/DMP31D1UW.pdf","DMP31D1UW Datasheet")</f>
        <v>DMP31D1UW Datasheet</v>
      </c>
      <c r="C1119" t="s">
        <v>777</v>
      </c>
      <c r="D1119" t="s">
        <v>28</v>
      </c>
      <c r="E1119" t="s">
        <v>26</v>
      </c>
      <c r="F1119" t="s">
        <v>52</v>
      </c>
      <c r="G1119" t="s">
        <v>28</v>
      </c>
      <c r="H1119">
        <v>30</v>
      </c>
      <c r="I1119">
        <v>8</v>
      </c>
      <c r="J1119">
        <v>0.6</v>
      </c>
      <c r="L1119">
        <v>0.57</v>
      </c>
      <c r="O1119">
        <v>1000</v>
      </c>
      <c r="P1119">
        <v>1500</v>
      </c>
      <c r="Q1119">
        <v>2000</v>
      </c>
      <c r="R1119">
        <v>0.5</v>
      </c>
      <c r="S1119">
        <v>1.1</v>
      </c>
      <c r="T1119">
        <v>1</v>
      </c>
      <c r="V1119">
        <v>54</v>
      </c>
      <c r="W1119">
        <v>15</v>
      </c>
      <c r="X1119" t="s">
        <v>60</v>
      </c>
    </row>
    <row r="1120" spans="1:24">
      <c r="A1120" t="str">
        <f>Hyperlink("https://www.diodes.com/part/view/DMP31D1UWQ","DMP31D1UWQ")</f>
        <v>DMP31D1UWQ</v>
      </c>
      <c r="B1120" t="str">
        <f>Hyperlink("https://www.diodes.com/assets/Datasheets/DMP31D1UWQ.pdf","DMP31D1UWQ Datasheet")</f>
        <v>DMP31D1UWQ Datasheet</v>
      </c>
      <c r="C1120" t="s">
        <v>777</v>
      </c>
      <c r="D1120" t="s">
        <v>25</v>
      </c>
      <c r="E1120" t="s">
        <v>33</v>
      </c>
      <c r="F1120" t="s">
        <v>52</v>
      </c>
      <c r="G1120" t="s">
        <v>28</v>
      </c>
      <c r="H1120">
        <v>30</v>
      </c>
      <c r="I1120">
        <v>8</v>
      </c>
      <c r="J1120">
        <v>0.6</v>
      </c>
      <c r="L1120">
        <v>0.57</v>
      </c>
      <c r="O1120">
        <v>1000</v>
      </c>
      <c r="P1120">
        <v>1500</v>
      </c>
      <c r="Q1120">
        <v>2000</v>
      </c>
      <c r="R1120">
        <v>0.5</v>
      </c>
      <c r="S1120">
        <v>1.1</v>
      </c>
      <c r="T1120">
        <v>1</v>
      </c>
      <c r="V1120">
        <v>54</v>
      </c>
      <c r="W1120">
        <v>15</v>
      </c>
      <c r="X1120" t="s">
        <v>60</v>
      </c>
    </row>
    <row r="1121" spans="1:24">
      <c r="A1121" t="str">
        <f>Hyperlink("https://www.diodes.com/part/view/DMP31D7L","DMP31D7L")</f>
        <v>DMP31D7L</v>
      </c>
      <c r="B1121" t="str">
        <f>Hyperlink("https://www.diodes.com/assets/Datasheets/DMP31D7L.pdf","DMP31D7L Datasheet")</f>
        <v>DMP31D7L Datasheet</v>
      </c>
      <c r="C1121" t="s">
        <v>51</v>
      </c>
      <c r="D1121" t="s">
        <v>28</v>
      </c>
      <c r="E1121" t="s">
        <v>26</v>
      </c>
      <c r="F1121" t="s">
        <v>52</v>
      </c>
      <c r="G1121" t="s">
        <v>25</v>
      </c>
      <c r="H1121">
        <v>30</v>
      </c>
      <c r="I1121">
        <v>20</v>
      </c>
      <c r="J1121">
        <v>0.58</v>
      </c>
      <c r="L1121">
        <v>0.46</v>
      </c>
      <c r="N1121">
        <v>900</v>
      </c>
      <c r="O1121">
        <v>1700</v>
      </c>
      <c r="S1121">
        <v>2.6</v>
      </c>
      <c r="T1121">
        <v>0.36</v>
      </c>
      <c r="V1121">
        <v>19</v>
      </c>
      <c r="W1121">
        <v>15</v>
      </c>
      <c r="X1121" t="s">
        <v>32</v>
      </c>
    </row>
    <row r="1122" spans="1:24">
      <c r="A1122" t="str">
        <f>Hyperlink("https://www.diodes.com/part/view/DMP31D7LDW","DMP31D7LDW")</f>
        <v>DMP31D7LDW</v>
      </c>
      <c r="B1122" t="str">
        <f>Hyperlink("https://www.diodes.com/assets/Datasheets/DMP31D7LDW.pdf","DMP31D7LDW Datasheet")</f>
        <v>DMP31D7LDW Datasheet</v>
      </c>
      <c r="C1122" t="s">
        <v>80</v>
      </c>
      <c r="D1122" t="s">
        <v>28</v>
      </c>
      <c r="E1122" t="s">
        <v>26</v>
      </c>
      <c r="F1122" t="s">
        <v>78</v>
      </c>
      <c r="G1122" t="s">
        <v>25</v>
      </c>
      <c r="H1122">
        <v>30</v>
      </c>
      <c r="I1122">
        <v>20</v>
      </c>
      <c r="J1122">
        <v>0.55</v>
      </c>
      <c r="L1122">
        <v>0.4</v>
      </c>
      <c r="N1122">
        <v>900</v>
      </c>
      <c r="O1122">
        <v>1700</v>
      </c>
      <c r="S1122">
        <v>2.6</v>
      </c>
      <c r="T1122">
        <v>0.36</v>
      </c>
      <c r="U1122">
        <v>0.8</v>
      </c>
      <c r="V1122">
        <v>19</v>
      </c>
      <c r="W1122">
        <v>15</v>
      </c>
      <c r="X1122" t="s">
        <v>37</v>
      </c>
    </row>
    <row r="1123" spans="1:24">
      <c r="A1123" t="str">
        <f>Hyperlink("https://www.diodes.com/part/view/DMP31D7LDWQ","DMP31D7LDWQ")</f>
        <v>DMP31D7LDWQ</v>
      </c>
      <c r="B1123" t="str">
        <f>Hyperlink("https://www.diodes.com/assets/Datasheets/DMP31D7LDWQ.pdf","DMP31D7LDWQ Datasheet")</f>
        <v>DMP31D7LDWQ Datasheet</v>
      </c>
      <c r="C1123" t="s">
        <v>80</v>
      </c>
      <c r="D1123" t="s">
        <v>25</v>
      </c>
      <c r="E1123" t="s">
        <v>33</v>
      </c>
      <c r="F1123" t="s">
        <v>78</v>
      </c>
      <c r="G1123" t="s">
        <v>25</v>
      </c>
      <c r="H1123">
        <v>30</v>
      </c>
      <c r="I1123">
        <v>20</v>
      </c>
      <c r="J1123">
        <v>0.55</v>
      </c>
      <c r="L1123">
        <v>0.4</v>
      </c>
      <c r="N1123">
        <v>900</v>
      </c>
      <c r="O1123">
        <v>1700</v>
      </c>
      <c r="S1123">
        <v>2.6</v>
      </c>
      <c r="T1123">
        <v>0.36</v>
      </c>
      <c r="U1123">
        <v>0.8</v>
      </c>
      <c r="X1123" t="s">
        <v>37</v>
      </c>
    </row>
    <row r="1124" spans="1:24">
      <c r="A1124" t="str">
        <f>Hyperlink("https://www.diodes.com/part/view/DMP31D7LFB","DMP31D7LFB")</f>
        <v>DMP31D7LFB</v>
      </c>
      <c r="B1124" t="str">
        <f>Hyperlink("https://www.diodes.com/assets/Datasheets/DMP31D7LFB.pdf","DMP31D7LFB Datasheet")</f>
        <v>DMP31D7LFB Datasheet</v>
      </c>
      <c r="C1124" t="s">
        <v>51</v>
      </c>
      <c r="D1124" t="s">
        <v>28</v>
      </c>
      <c r="E1124" t="s">
        <v>26</v>
      </c>
      <c r="F1124" t="s">
        <v>52</v>
      </c>
      <c r="G1124" t="s">
        <v>25</v>
      </c>
      <c r="H1124">
        <v>30</v>
      </c>
      <c r="I1124">
        <v>20</v>
      </c>
      <c r="J1124">
        <v>0.81</v>
      </c>
      <c r="L1124">
        <v>0.89</v>
      </c>
      <c r="N1124">
        <v>900</v>
      </c>
      <c r="O1124">
        <v>1700</v>
      </c>
      <c r="S1124">
        <v>2.6</v>
      </c>
      <c r="T1124">
        <v>0.36</v>
      </c>
      <c r="V1124">
        <v>19</v>
      </c>
      <c r="W1124">
        <v>15</v>
      </c>
      <c r="X1124" t="s">
        <v>592</v>
      </c>
    </row>
    <row r="1125" spans="1:24">
      <c r="A1125" t="str">
        <f>Hyperlink("https://www.diodes.com/part/view/DMP31D7LFBQ","DMP31D7LFBQ")</f>
        <v>DMP31D7LFBQ</v>
      </c>
      <c r="B1125" t="str">
        <f>Hyperlink("https://www.diodes.com/assets/Datasheets/DMP31D7LFBQ.pdf","DMP31D7LFBQ Datasheet")</f>
        <v>DMP31D7LFBQ Datasheet</v>
      </c>
      <c r="C1125" t="s">
        <v>51</v>
      </c>
      <c r="D1125" t="s">
        <v>25</v>
      </c>
      <c r="E1125" t="s">
        <v>33</v>
      </c>
      <c r="F1125" t="s">
        <v>52</v>
      </c>
      <c r="G1125" t="s">
        <v>25</v>
      </c>
      <c r="H1125">
        <v>30</v>
      </c>
      <c r="I1125">
        <v>20</v>
      </c>
      <c r="J1125">
        <v>0.81</v>
      </c>
      <c r="L1125">
        <v>0.89</v>
      </c>
      <c r="N1125">
        <v>900</v>
      </c>
      <c r="O1125">
        <v>1700</v>
      </c>
      <c r="S1125">
        <v>2.6</v>
      </c>
      <c r="T1125">
        <v>0.36</v>
      </c>
      <c r="V1125">
        <v>19</v>
      </c>
      <c r="W1125">
        <v>15</v>
      </c>
      <c r="X1125" t="s">
        <v>592</v>
      </c>
    </row>
    <row r="1126" spans="1:24">
      <c r="A1126" t="str">
        <f>Hyperlink("https://www.diodes.com/part/view/DMP31D7LQ","DMP31D7LQ")</f>
        <v>DMP31D7LQ</v>
      </c>
      <c r="B1126" t="str">
        <f>Hyperlink("https://www.diodes.com/assets/Datasheets/DMP31D7LQ.pdf","DMP31D7LQ Datasheet")</f>
        <v>DMP31D7LQ Datasheet</v>
      </c>
      <c r="C1126" t="s">
        <v>51</v>
      </c>
      <c r="D1126" t="s">
        <v>25</v>
      </c>
      <c r="E1126" t="s">
        <v>33</v>
      </c>
      <c r="F1126" t="s">
        <v>52</v>
      </c>
      <c r="G1126" t="s">
        <v>25</v>
      </c>
      <c r="H1126">
        <v>30</v>
      </c>
      <c r="I1126">
        <v>20</v>
      </c>
      <c r="J1126">
        <v>0.58</v>
      </c>
      <c r="L1126">
        <v>0.46</v>
      </c>
      <c r="N1126">
        <v>900</v>
      </c>
      <c r="O1126">
        <v>1700</v>
      </c>
      <c r="R1126">
        <v>1</v>
      </c>
      <c r="S1126">
        <v>2.6</v>
      </c>
      <c r="T1126">
        <v>0.36</v>
      </c>
      <c r="V1126">
        <v>19</v>
      </c>
      <c r="W1126">
        <v>15</v>
      </c>
      <c r="X1126" t="s">
        <v>32</v>
      </c>
    </row>
    <row r="1127" spans="1:24">
      <c r="A1127" t="str">
        <f>Hyperlink("https://www.diodes.com/part/view/DMP31D7LT","DMP31D7LT")</f>
        <v>DMP31D7LT</v>
      </c>
      <c r="B1127" t="str">
        <f>Hyperlink("https://www.diodes.com/assets/Datasheets/DMP31D7LT.pdf","DMP31D7LT Datasheet")</f>
        <v>DMP31D7LT Datasheet</v>
      </c>
      <c r="C1127" t="s">
        <v>51</v>
      </c>
      <c r="D1127" t="s">
        <v>28</v>
      </c>
      <c r="E1127" t="s">
        <v>26</v>
      </c>
      <c r="F1127" t="s">
        <v>52</v>
      </c>
      <c r="G1127" t="s">
        <v>25</v>
      </c>
      <c r="H1127">
        <v>30</v>
      </c>
      <c r="I1127">
        <v>20</v>
      </c>
      <c r="J1127">
        <v>0.36</v>
      </c>
      <c r="L1127">
        <v>0.33</v>
      </c>
      <c r="N1127">
        <v>900</v>
      </c>
      <c r="O1127">
        <v>1700</v>
      </c>
      <c r="R1127">
        <v>1</v>
      </c>
      <c r="S1127">
        <v>2.6</v>
      </c>
      <c r="T1127">
        <v>0.36</v>
      </c>
      <c r="V1127">
        <v>19</v>
      </c>
      <c r="W1127">
        <v>15</v>
      </c>
      <c r="X1127" t="s">
        <v>41</v>
      </c>
    </row>
    <row r="1128" spans="1:24">
      <c r="A1128" t="str">
        <f>Hyperlink("https://www.diodes.com/part/view/DMP31D7LTQ","DMP31D7LTQ")</f>
        <v>DMP31D7LTQ</v>
      </c>
      <c r="B1128" t="str">
        <f>Hyperlink("https://www.diodes.com/assets/Datasheets/DMP31D7LTQ.pdf","DMP31D7LTQ Datasheet")</f>
        <v>DMP31D7LTQ Datasheet</v>
      </c>
      <c r="C1128" t="s">
        <v>777</v>
      </c>
      <c r="D1128" t="s">
        <v>25</v>
      </c>
      <c r="E1128" t="s">
        <v>33</v>
      </c>
      <c r="F1128" t="s">
        <v>52</v>
      </c>
      <c r="G1128" t="s">
        <v>25</v>
      </c>
      <c r="H1128">
        <v>30</v>
      </c>
      <c r="I1128">
        <v>20</v>
      </c>
      <c r="J1128">
        <v>0.36</v>
      </c>
      <c r="L1128">
        <v>0.33</v>
      </c>
      <c r="N1128">
        <v>900</v>
      </c>
      <c r="O1128">
        <v>1700</v>
      </c>
      <c r="R1128">
        <v>1</v>
      </c>
      <c r="S1128">
        <v>2.6</v>
      </c>
      <c r="T1128">
        <v>0.36</v>
      </c>
      <c r="V1128">
        <v>19</v>
      </c>
      <c r="W1128">
        <v>15</v>
      </c>
      <c r="X1128" t="s">
        <v>41</v>
      </c>
    </row>
    <row r="1129" spans="1:24">
      <c r="A1129" t="str">
        <f>Hyperlink("https://www.diodes.com/part/view/DMP31D7LV","DMP31D7LV")</f>
        <v>DMP31D7LV</v>
      </c>
      <c r="B1129" t="str">
        <f>Hyperlink("https://www.diodes.com/assets/Datasheets/DMP31D7LV.pdf","DMP31D7LV Datasheet")</f>
        <v>DMP31D7LV Datasheet</v>
      </c>
      <c r="C1129" t="s">
        <v>80</v>
      </c>
      <c r="D1129" t="s">
        <v>28</v>
      </c>
      <c r="E1129" t="s">
        <v>26</v>
      </c>
      <c r="F1129" t="s">
        <v>78</v>
      </c>
      <c r="G1129" t="s">
        <v>25</v>
      </c>
      <c r="H1129">
        <v>30</v>
      </c>
      <c r="I1129">
        <v>20</v>
      </c>
      <c r="J1129">
        <v>0.62</v>
      </c>
      <c r="L1129">
        <v>0.8</v>
      </c>
      <c r="N1129">
        <v>900</v>
      </c>
      <c r="O1129">
        <v>1700</v>
      </c>
      <c r="R1129">
        <v>1</v>
      </c>
      <c r="S1129">
        <v>2.6</v>
      </c>
      <c r="T1129">
        <v>0.36</v>
      </c>
      <c r="U1129">
        <v>0.8</v>
      </c>
      <c r="V1129">
        <v>19</v>
      </c>
      <c r="W1129">
        <v>15</v>
      </c>
      <c r="X1129" t="s">
        <v>43</v>
      </c>
    </row>
    <row r="1130" spans="1:24">
      <c r="A1130" t="str">
        <f>Hyperlink("https://www.diodes.com/part/view/DMP31D7LVQ","DMP31D7LVQ")</f>
        <v>DMP31D7LVQ</v>
      </c>
      <c r="B1130" t="str">
        <f>Hyperlink("https://www.diodes.com/assets/Datasheets/DMP31D7LVQ.pdf","DMP31D7LVQ Datasheet")</f>
        <v>DMP31D7LVQ Datasheet</v>
      </c>
      <c r="C1130" t="s">
        <v>80</v>
      </c>
      <c r="D1130" t="s">
        <v>25</v>
      </c>
      <c r="E1130" t="s">
        <v>33</v>
      </c>
      <c r="F1130" t="s">
        <v>78</v>
      </c>
      <c r="G1130" t="s">
        <v>25</v>
      </c>
      <c r="H1130">
        <v>30</v>
      </c>
      <c r="I1130">
        <v>20</v>
      </c>
      <c r="J1130">
        <v>0.62</v>
      </c>
      <c r="L1130">
        <v>0.8</v>
      </c>
      <c r="N1130">
        <v>900</v>
      </c>
      <c r="O1130">
        <v>1700</v>
      </c>
      <c r="R1130">
        <v>1</v>
      </c>
      <c r="S1130">
        <v>2.6</v>
      </c>
      <c r="T1130">
        <v>0.36</v>
      </c>
      <c r="U1130">
        <v>0.8</v>
      </c>
      <c r="V1130">
        <v>19</v>
      </c>
      <c r="W1130">
        <v>15</v>
      </c>
      <c r="X1130" t="s">
        <v>43</v>
      </c>
    </row>
    <row r="1131" spans="1:24">
      <c r="A1131" t="str">
        <f>Hyperlink("https://www.diodes.com/part/view/DMP31D7LW","DMP31D7LW")</f>
        <v>DMP31D7LW</v>
      </c>
      <c r="B1131" t="str">
        <f>Hyperlink("https://www.diodes.com/assets/Datasheets/DMP31D7LW.pdf","DMP31D7LW Datasheet")</f>
        <v>DMP31D7LW Datasheet</v>
      </c>
      <c r="C1131" t="s">
        <v>51</v>
      </c>
      <c r="D1131" t="s">
        <v>28</v>
      </c>
      <c r="E1131" t="s">
        <v>26</v>
      </c>
      <c r="F1131" t="s">
        <v>52</v>
      </c>
      <c r="G1131" t="s">
        <v>25</v>
      </c>
      <c r="H1131">
        <v>30</v>
      </c>
      <c r="I1131">
        <v>20</v>
      </c>
      <c r="J1131">
        <v>0.52</v>
      </c>
      <c r="L1131">
        <v>0.37</v>
      </c>
      <c r="N1131">
        <v>900</v>
      </c>
      <c r="O1131">
        <v>1700</v>
      </c>
      <c r="S1131">
        <v>2.6</v>
      </c>
      <c r="T1131">
        <v>0.36</v>
      </c>
      <c r="V1131">
        <v>19</v>
      </c>
      <c r="W1131">
        <v>15</v>
      </c>
      <c r="X1131" t="s">
        <v>60</v>
      </c>
    </row>
    <row r="1132" spans="1:24">
      <c r="A1132" t="str">
        <f>Hyperlink("https://www.diodes.com/part/view/DMP31D7LWQ","DMP31D7LWQ")</f>
        <v>DMP31D7LWQ</v>
      </c>
      <c r="B1132" t="str">
        <f>Hyperlink("https://www.diodes.com/assets/Datasheets/DMP31D7LWQ.pdf","DMP31D7LWQ Datasheet")</f>
        <v>DMP31D7LWQ Datasheet</v>
      </c>
      <c r="C1132" t="s">
        <v>777</v>
      </c>
      <c r="D1132" t="s">
        <v>25</v>
      </c>
      <c r="E1132" t="s">
        <v>33</v>
      </c>
      <c r="F1132" t="s">
        <v>52</v>
      </c>
      <c r="G1132" t="s">
        <v>25</v>
      </c>
      <c r="H1132">
        <v>30</v>
      </c>
      <c r="I1132">
        <v>20</v>
      </c>
      <c r="J1132">
        <v>0.52</v>
      </c>
      <c r="L1132">
        <v>0.37</v>
      </c>
      <c r="N1132">
        <v>900</v>
      </c>
      <c r="O1132">
        <v>1700</v>
      </c>
      <c r="R1132">
        <v>1</v>
      </c>
      <c r="S1132">
        <v>2.6</v>
      </c>
      <c r="T1132">
        <v>0.36</v>
      </c>
      <c r="V1132">
        <v>19</v>
      </c>
      <c r="W1132">
        <v>15</v>
      </c>
      <c r="X1132" t="s">
        <v>60</v>
      </c>
    </row>
    <row r="1133" spans="1:24">
      <c r="A1133" t="str">
        <f>Hyperlink("https://www.diodes.com/part/view/DMP32D4S","DMP32D4S")</f>
        <v>DMP32D4S</v>
      </c>
      <c r="B1133" t="str">
        <f>Hyperlink("https://www.diodes.com/assets/Datasheets/DMP32D4S.pdf","DMP32D4S Datasheet")</f>
        <v>DMP32D4S Datasheet</v>
      </c>
      <c r="C1133" t="s">
        <v>51</v>
      </c>
      <c r="D1133" t="s">
        <v>25</v>
      </c>
      <c r="E1133" t="s">
        <v>26</v>
      </c>
      <c r="F1133" t="s">
        <v>52</v>
      </c>
      <c r="G1133" t="s">
        <v>25</v>
      </c>
      <c r="H1133">
        <v>30</v>
      </c>
      <c r="I1133">
        <v>20</v>
      </c>
      <c r="J1133">
        <v>0.3</v>
      </c>
      <c r="L1133">
        <v>0.54</v>
      </c>
      <c r="N1133">
        <v>2400</v>
      </c>
      <c r="O1133">
        <v>4000</v>
      </c>
      <c r="S1133">
        <v>2.4</v>
      </c>
      <c r="T1133">
        <v>0.6</v>
      </c>
      <c r="U1133">
        <v>1.2</v>
      </c>
      <c r="V1133">
        <v>51.2</v>
      </c>
      <c r="X1133" t="s">
        <v>32</v>
      </c>
    </row>
    <row r="1134" spans="1:24">
      <c r="A1134" t="str">
        <f>Hyperlink("https://www.diodes.com/part/view/DMP32D4SFB","DMP32D4SFB")</f>
        <v>DMP32D4SFB</v>
      </c>
      <c r="B1134" t="str">
        <f>Hyperlink("https://www.diodes.com/assets/Datasheets/DMP32D4SFB.pdf","DMP32D4SFB Datasheet")</f>
        <v>DMP32D4SFB Datasheet</v>
      </c>
      <c r="C1134" t="s">
        <v>51</v>
      </c>
      <c r="D1134" t="s">
        <v>25</v>
      </c>
      <c r="E1134" t="s">
        <v>26</v>
      </c>
      <c r="F1134" t="s">
        <v>52</v>
      </c>
      <c r="G1134" t="s">
        <v>25</v>
      </c>
      <c r="H1134">
        <v>30</v>
      </c>
      <c r="I1134">
        <v>20</v>
      </c>
      <c r="J1134">
        <v>0.5</v>
      </c>
      <c r="L1134">
        <v>1.2</v>
      </c>
      <c r="N1134">
        <v>2400</v>
      </c>
      <c r="O1134">
        <v>4000</v>
      </c>
      <c r="P1134">
        <v>16000</v>
      </c>
      <c r="S1134">
        <v>2.3</v>
      </c>
      <c r="T1134">
        <v>0.6</v>
      </c>
      <c r="U1134">
        <v>1.3</v>
      </c>
      <c r="V1134">
        <v>51</v>
      </c>
      <c r="X1134" t="s">
        <v>592</v>
      </c>
    </row>
    <row r="1135" spans="1:24">
      <c r="A1135" t="str">
        <f>Hyperlink("https://www.diodes.com/part/view/DMP32D4SW","DMP32D4SW")</f>
        <v>DMP32D4SW</v>
      </c>
      <c r="B1135" t="str">
        <f>Hyperlink("https://www.diodes.com/assets/Datasheets/DMP32D4SW.pdf","DMP32D4SW Datasheet")</f>
        <v>DMP32D4SW Datasheet</v>
      </c>
      <c r="C1135" t="s">
        <v>503</v>
      </c>
      <c r="D1135" t="s">
        <v>25</v>
      </c>
      <c r="E1135" t="s">
        <v>26</v>
      </c>
      <c r="F1135" t="s">
        <v>52</v>
      </c>
      <c r="G1135" t="s">
        <v>25</v>
      </c>
      <c r="H1135">
        <v>30</v>
      </c>
      <c r="I1135">
        <v>20</v>
      </c>
      <c r="J1135">
        <v>0.25</v>
      </c>
      <c r="L1135">
        <v>0.432</v>
      </c>
      <c r="N1135">
        <v>2400</v>
      </c>
      <c r="O1135">
        <v>4000</v>
      </c>
      <c r="S1135">
        <v>2.4</v>
      </c>
      <c r="T1135">
        <v>0.6</v>
      </c>
      <c r="U1135">
        <v>1.2</v>
      </c>
      <c r="V1135">
        <v>51.2</v>
      </c>
      <c r="X1135" t="s">
        <v>60</v>
      </c>
    </row>
    <row r="1136" spans="1:24">
      <c r="A1136" t="str">
        <f>Hyperlink("https://www.diodes.com/part/view/DMP32D5LFA","DMP32D5LFA")</f>
        <v>DMP32D5LFA</v>
      </c>
      <c r="B1136" t="str">
        <f>Hyperlink("https://www.diodes.com/assets/Datasheets/DMP32D5LFA.pdf","DMP32D5LFA Datasheet")</f>
        <v>DMP32D5LFA Datasheet</v>
      </c>
      <c r="C1136" t="s">
        <v>51</v>
      </c>
      <c r="D1136" t="s">
        <v>25</v>
      </c>
      <c r="E1136" t="s">
        <v>26</v>
      </c>
      <c r="F1136" t="s">
        <v>52</v>
      </c>
      <c r="G1136" t="s">
        <v>25</v>
      </c>
      <c r="H1136">
        <v>30</v>
      </c>
      <c r="I1136">
        <v>8</v>
      </c>
      <c r="J1136">
        <v>0.3</v>
      </c>
      <c r="L1136">
        <v>0.36</v>
      </c>
      <c r="O1136">
        <v>1500</v>
      </c>
      <c r="P1136">
        <v>2500</v>
      </c>
      <c r="Q1136">
        <v>7500</v>
      </c>
      <c r="S1136">
        <v>1.2</v>
      </c>
      <c r="T1136">
        <v>0.7</v>
      </c>
      <c r="V1136">
        <v>40.9</v>
      </c>
      <c r="W1136">
        <v>15</v>
      </c>
      <c r="X1136" t="s">
        <v>595</v>
      </c>
    </row>
    <row r="1137" spans="1:24">
      <c r="A1137" t="str">
        <f>Hyperlink("https://www.diodes.com/part/view/DMP32D5SFB","DMP32D5SFB")</f>
        <v>DMP32D5SFB</v>
      </c>
      <c r="B1137" t="str">
        <f>Hyperlink("https://www.diodes.com/assets/Datasheets/DMP32D5SFB.pdf","DMP32D5SFB Datasheet")</f>
        <v>DMP32D5SFB Datasheet</v>
      </c>
      <c r="C1137" t="s">
        <v>51</v>
      </c>
      <c r="D1137" t="s">
        <v>25</v>
      </c>
      <c r="E1137" t="s">
        <v>26</v>
      </c>
      <c r="F1137" t="s">
        <v>52</v>
      </c>
      <c r="G1137" t="s">
        <v>25</v>
      </c>
      <c r="H1137">
        <v>30</v>
      </c>
      <c r="I1137">
        <v>25</v>
      </c>
      <c r="J1137">
        <v>0.5</v>
      </c>
      <c r="L1137">
        <v>1.2</v>
      </c>
      <c r="N1137">
        <v>2400</v>
      </c>
      <c r="O1137">
        <v>4000</v>
      </c>
      <c r="S1137">
        <v>2.3</v>
      </c>
      <c r="T1137">
        <v>0.62</v>
      </c>
      <c r="U1137">
        <v>1.25</v>
      </c>
      <c r="V1137">
        <v>51</v>
      </c>
      <c r="W1137">
        <v>15</v>
      </c>
      <c r="X1137" t="s">
        <v>592</v>
      </c>
    </row>
    <row r="1138" spans="1:24">
      <c r="A1138" t="str">
        <f>Hyperlink("https://www.diodes.com/part/view/DMP32D8UFZ","DMP32D8UFZ")</f>
        <v>DMP32D8UFZ</v>
      </c>
      <c r="B1138" t="str">
        <f>Hyperlink("https://www.diodes.com/assets/Datasheets/DMP32D8UFZ.pdf","DMP32D8UFZ Datasheet")</f>
        <v>DMP32D8UFZ Datasheet</v>
      </c>
      <c r="C1138" t="s">
        <v>777</v>
      </c>
      <c r="D1138" t="s">
        <v>28</v>
      </c>
      <c r="E1138" t="s">
        <v>26</v>
      </c>
      <c r="F1138" t="s">
        <v>52</v>
      </c>
      <c r="G1138" t="s">
        <v>25</v>
      </c>
      <c r="H1138">
        <v>30</v>
      </c>
      <c r="I1138">
        <v>10</v>
      </c>
      <c r="J1138">
        <v>0.2</v>
      </c>
      <c r="L1138">
        <v>0.29</v>
      </c>
      <c r="O1138">
        <v>5000</v>
      </c>
      <c r="P1138">
        <v>6000</v>
      </c>
      <c r="Q1138">
        <v>7000</v>
      </c>
      <c r="R1138">
        <v>0.4</v>
      </c>
      <c r="S1138">
        <v>1</v>
      </c>
      <c r="T1138">
        <v>0.35</v>
      </c>
      <c r="V1138">
        <v>17</v>
      </c>
      <c r="W1138">
        <v>15</v>
      </c>
      <c r="X1138" t="s">
        <v>651</v>
      </c>
    </row>
    <row r="1139" spans="1:24">
      <c r="A1139" t="str">
        <f>Hyperlink("https://www.diodes.com/part/view/DMP32D9UDA","DMP32D9UDA")</f>
        <v>DMP32D9UDA</v>
      </c>
      <c r="B1139" t="str">
        <f>Hyperlink("https://www.diodes.com/assets/Datasheets/DMP32D9UDA.pdf","DMP32D9UDA Datasheet")</f>
        <v>DMP32D9UDA Datasheet</v>
      </c>
      <c r="C1139" t="s">
        <v>845</v>
      </c>
      <c r="D1139" t="s">
        <v>28</v>
      </c>
      <c r="E1139" t="s">
        <v>26</v>
      </c>
      <c r="F1139" t="s">
        <v>78</v>
      </c>
      <c r="G1139" t="s">
        <v>25</v>
      </c>
      <c r="H1139">
        <v>30</v>
      </c>
      <c r="I1139">
        <v>12</v>
      </c>
      <c r="J1139">
        <v>0.22</v>
      </c>
      <c r="L1139">
        <v>0.36</v>
      </c>
      <c r="O1139">
        <v>5000</v>
      </c>
      <c r="P1139">
        <v>6000</v>
      </c>
      <c r="Q1139">
        <v>7000</v>
      </c>
      <c r="S1139">
        <v>1</v>
      </c>
      <c r="T1139">
        <v>0.35</v>
      </c>
      <c r="V1139">
        <v>22</v>
      </c>
      <c r="W1139">
        <v>5</v>
      </c>
      <c r="X1139" t="s">
        <v>225</v>
      </c>
    </row>
    <row r="1140" spans="1:24">
      <c r="A1140" t="str">
        <f>Hyperlink("https://www.diodes.com/part/view/DMP32D9UDAQ","DMP32D9UDAQ")</f>
        <v>DMP32D9UDAQ</v>
      </c>
      <c r="B1140" t="str">
        <f>Hyperlink("https://www.diodes.com/assets/Datasheets/DMP32D9UDAQ.pdf","DMP32D9UDAQ Datasheet")</f>
        <v>DMP32D9UDAQ Datasheet</v>
      </c>
      <c r="C1140" t="s">
        <v>846</v>
      </c>
      <c r="D1140" t="s">
        <v>25</v>
      </c>
      <c r="E1140" t="s">
        <v>33</v>
      </c>
      <c r="F1140" t="s">
        <v>78</v>
      </c>
      <c r="G1140" t="s">
        <v>25</v>
      </c>
      <c r="H1140">
        <v>30</v>
      </c>
      <c r="I1140">
        <v>12</v>
      </c>
      <c r="J1140">
        <v>0.22</v>
      </c>
      <c r="L1140">
        <v>0.37</v>
      </c>
      <c r="O1140">
        <v>5000</v>
      </c>
      <c r="P1140">
        <v>6000</v>
      </c>
      <c r="Q1140">
        <v>7000</v>
      </c>
      <c r="R1140">
        <v>0.4</v>
      </c>
      <c r="S1140">
        <v>1</v>
      </c>
      <c r="T1140">
        <v>0.35</v>
      </c>
      <c r="V1140">
        <v>21.8</v>
      </c>
      <c r="W1140">
        <v>15</v>
      </c>
      <c r="X1140" t="s">
        <v>225</v>
      </c>
    </row>
    <row r="1141" spans="1:24">
      <c r="A1141" t="str">
        <f>Hyperlink("https://www.diodes.com/part/view/DMP32D9UFA","DMP32D9UFA")</f>
        <v>DMP32D9UFA</v>
      </c>
      <c r="B1141" t="str">
        <f>Hyperlink("https://www.diodes.com/assets/Datasheets/DMP32D9UFA.pdf","DMP32D9UFA Datasheet")</f>
        <v>DMP32D9UFA Datasheet</v>
      </c>
      <c r="C1141" t="s">
        <v>838</v>
      </c>
      <c r="D1141" t="s">
        <v>28</v>
      </c>
      <c r="E1141" t="s">
        <v>26</v>
      </c>
      <c r="F1141" t="s">
        <v>52</v>
      </c>
      <c r="G1141" t="s">
        <v>25</v>
      </c>
      <c r="H1141">
        <v>30</v>
      </c>
      <c r="I1141">
        <v>12</v>
      </c>
      <c r="J1141">
        <v>0.21</v>
      </c>
      <c r="L1141">
        <v>0.36</v>
      </c>
      <c r="O1141">
        <v>5000</v>
      </c>
      <c r="P1141">
        <v>6000</v>
      </c>
      <c r="Q1141">
        <v>7000</v>
      </c>
      <c r="R1141">
        <v>0.4</v>
      </c>
      <c r="S1141">
        <v>1</v>
      </c>
      <c r="T1141">
        <v>0.36</v>
      </c>
      <c r="V1141">
        <v>17</v>
      </c>
      <c r="W1141">
        <v>15</v>
      </c>
      <c r="X1141" t="s">
        <v>595</v>
      </c>
    </row>
    <row r="1142" spans="1:24">
      <c r="A1142" t="str">
        <f>Hyperlink("https://www.diodes.com/part/view/DMP32D9UFO","DMP32D9UFO")</f>
        <v>DMP32D9UFO</v>
      </c>
      <c r="B1142" t="str">
        <f>Hyperlink("https://www.diodes.com/assets/Datasheets/DMP32D9UFO.pdf","DMP32D9UFO Datasheet")</f>
        <v>DMP32D9UFO Datasheet</v>
      </c>
      <c r="C1142" t="s">
        <v>51</v>
      </c>
      <c r="D1142" t="s">
        <v>28</v>
      </c>
      <c r="E1142" t="s">
        <v>26</v>
      </c>
      <c r="F1142" t="s">
        <v>52</v>
      </c>
      <c r="G1142" t="s">
        <v>25</v>
      </c>
      <c r="H1142">
        <v>30</v>
      </c>
      <c r="I1142">
        <v>12</v>
      </c>
      <c r="J1142">
        <v>0.2</v>
      </c>
      <c r="L1142">
        <v>0.32</v>
      </c>
      <c r="O1142">
        <v>5000</v>
      </c>
      <c r="P1142">
        <v>6000</v>
      </c>
      <c r="S1142">
        <v>1</v>
      </c>
      <c r="T1142">
        <v>0.35</v>
      </c>
      <c r="V1142">
        <v>22</v>
      </c>
      <c r="W1142">
        <v>15</v>
      </c>
      <c r="X1142" t="s">
        <v>650</v>
      </c>
    </row>
    <row r="1143" spans="1:24">
      <c r="A1143" t="str">
        <f>Hyperlink("https://www.diodes.com/part/view/DMP32D9UFZ","DMP32D9UFZ")</f>
        <v>DMP32D9UFZ</v>
      </c>
      <c r="B1143" t="str">
        <f>Hyperlink("https://www.diodes.com/assets/Datasheets/DMP32D9UFZ.pdf","DMP32D9UFZ Datasheet")</f>
        <v>DMP32D9UFZ Datasheet</v>
      </c>
      <c r="C1143" t="s">
        <v>51</v>
      </c>
      <c r="D1143" t="s">
        <v>25</v>
      </c>
      <c r="E1143" t="s">
        <v>26</v>
      </c>
      <c r="F1143" t="s">
        <v>52</v>
      </c>
      <c r="G1143" t="s">
        <v>25</v>
      </c>
      <c r="H1143">
        <v>30</v>
      </c>
      <c r="I1143">
        <v>10</v>
      </c>
      <c r="J1143">
        <v>0.2</v>
      </c>
      <c r="L1143">
        <v>0.39</v>
      </c>
      <c r="O1143">
        <v>5000</v>
      </c>
      <c r="P1143">
        <v>6000</v>
      </c>
      <c r="Q1143">
        <v>7000</v>
      </c>
      <c r="S1143">
        <v>1</v>
      </c>
      <c r="T1143">
        <v>0.35</v>
      </c>
      <c r="V1143">
        <v>22.5</v>
      </c>
      <c r="X1143" t="s">
        <v>651</v>
      </c>
    </row>
    <row r="1144" spans="1:24">
      <c r="A1144" t="str">
        <f>Hyperlink("https://www.diodes.com/part/view/DMP32M6SPS","DMP32M6SPS")</f>
        <v>DMP32M6SPS</v>
      </c>
      <c r="B1144" t="str">
        <f>Hyperlink("https://www.diodes.com/assets/Datasheets/DMP32M6SPS.pdf","DMP32M6SPS Datasheet")</f>
        <v>DMP32M6SPS Datasheet</v>
      </c>
      <c r="C1144" t="s">
        <v>503</v>
      </c>
      <c r="D1144" t="s">
        <v>28</v>
      </c>
      <c r="E1144" t="s">
        <v>26</v>
      </c>
      <c r="F1144" t="s">
        <v>52</v>
      </c>
      <c r="G1144" t="s">
        <v>28</v>
      </c>
      <c r="H1144">
        <v>30</v>
      </c>
      <c r="I1144">
        <v>20</v>
      </c>
      <c r="K1144">
        <v>100</v>
      </c>
      <c r="L1144">
        <v>2.3</v>
      </c>
      <c r="N1144">
        <v>2.6</v>
      </c>
      <c r="O1144">
        <v>3.75</v>
      </c>
      <c r="S1144">
        <v>2.5</v>
      </c>
      <c r="T1144">
        <v>75</v>
      </c>
      <c r="U1144">
        <v>158</v>
      </c>
      <c r="V1144">
        <v>8594</v>
      </c>
      <c r="W1144">
        <v>15</v>
      </c>
      <c r="X1144" t="s">
        <v>617</v>
      </c>
    </row>
    <row r="1145" spans="1:24">
      <c r="A1145" t="str">
        <f>Hyperlink("https://www.diodes.com/part/view/DMP34M4SPS","DMP34M4SPS")</f>
        <v>DMP34M4SPS</v>
      </c>
      <c r="B1145" t="str">
        <f>Hyperlink("https://www.diodes.com/assets/Datasheets/DMP34M4SPS.pdf","DMP34M4SPS Datasheet")</f>
        <v>DMP34M4SPS Datasheet</v>
      </c>
      <c r="C1145" t="s">
        <v>503</v>
      </c>
      <c r="D1145" t="s">
        <v>28</v>
      </c>
      <c r="E1145" t="s">
        <v>26</v>
      </c>
      <c r="F1145" t="s">
        <v>52</v>
      </c>
      <c r="G1145" t="s">
        <v>28</v>
      </c>
      <c r="H1145">
        <v>30</v>
      </c>
      <c r="I1145">
        <v>25</v>
      </c>
      <c r="J1145">
        <v>21</v>
      </c>
      <c r="K1145">
        <v>87</v>
      </c>
      <c r="L1145">
        <v>3</v>
      </c>
      <c r="N1145">
        <v>3.8</v>
      </c>
      <c r="O1145" t="s">
        <v>847</v>
      </c>
      <c r="S1145">
        <v>2.6</v>
      </c>
      <c r="U1145">
        <v>127</v>
      </c>
      <c r="V1145">
        <v>3775</v>
      </c>
      <c r="W1145">
        <v>15</v>
      </c>
      <c r="X1145" t="s">
        <v>848</v>
      </c>
    </row>
    <row r="1146" spans="1:24">
      <c r="A1146" t="str">
        <f>Hyperlink("https://www.diodes.com/part/view/DMP4006SPSW","DMP4006SPSW")</f>
        <v>DMP4006SPSW</v>
      </c>
      <c r="B1146" t="str">
        <f>Hyperlink("https://www.diodes.com/assets/Datasheets/DMP4006SPSW.pdf","DMP4006SPSW Datasheet")</f>
        <v>DMP4006SPSW Datasheet</v>
      </c>
      <c r="C1146" t="s">
        <v>849</v>
      </c>
      <c r="D1146" t="s">
        <v>28</v>
      </c>
      <c r="E1146" t="s">
        <v>26</v>
      </c>
      <c r="F1146" t="s">
        <v>52</v>
      </c>
      <c r="G1146" t="s">
        <v>28</v>
      </c>
      <c r="H1146">
        <v>40</v>
      </c>
      <c r="I1146">
        <v>20</v>
      </c>
      <c r="K1146">
        <v>115</v>
      </c>
      <c r="L1146">
        <v>3.4</v>
      </c>
      <c r="M1146">
        <v>104</v>
      </c>
      <c r="N1146">
        <v>5.2</v>
      </c>
      <c r="O1146" t="s">
        <v>850</v>
      </c>
      <c r="S1146">
        <v>3</v>
      </c>
      <c r="V1146">
        <v>6855</v>
      </c>
      <c r="W1146">
        <v>20</v>
      </c>
      <c r="X1146" t="s">
        <v>757</v>
      </c>
    </row>
    <row r="1147" spans="1:24">
      <c r="A1147" t="str">
        <f>Hyperlink("https://www.diodes.com/part/view/DMP4006SPSWQ","DMP4006SPSWQ")</f>
        <v>DMP4006SPSWQ</v>
      </c>
      <c r="B1147" t="str">
        <f>Hyperlink("https://www.diodes.com/assets/Datasheets/DMP4006SPSWQ.pdf","DMP4006SPSWQ Datasheet")</f>
        <v>DMP4006SPSWQ Datasheet</v>
      </c>
      <c r="C1147" t="s">
        <v>849</v>
      </c>
      <c r="D1147" t="s">
        <v>25</v>
      </c>
      <c r="E1147" t="s">
        <v>33</v>
      </c>
      <c r="F1147" t="s">
        <v>52</v>
      </c>
      <c r="G1147" t="s">
        <v>28</v>
      </c>
      <c r="H1147">
        <v>40</v>
      </c>
      <c r="I1147">
        <v>20</v>
      </c>
      <c r="K1147">
        <v>115</v>
      </c>
      <c r="L1147">
        <v>3.4</v>
      </c>
      <c r="M1147">
        <v>104</v>
      </c>
      <c r="N1147">
        <v>5.2</v>
      </c>
      <c r="O1147" t="s">
        <v>850</v>
      </c>
      <c r="S1147">
        <v>3</v>
      </c>
      <c r="V1147">
        <v>6855</v>
      </c>
      <c r="W1147">
        <v>20</v>
      </c>
      <c r="X1147" t="s">
        <v>757</v>
      </c>
    </row>
    <row r="1148" spans="1:24">
      <c r="A1148" t="str">
        <f>Hyperlink("https://www.diodes.com/part/view/DMP4009SPSW","DMP4009SPSW")</f>
        <v>DMP4009SPSW</v>
      </c>
      <c r="B1148" t="str">
        <f>Hyperlink("https://www.diodes.com/assets/Datasheets/DMP4009SPSW.pdf","DMP4009SPSW Datasheet")</f>
        <v>DMP4009SPSW Datasheet</v>
      </c>
      <c r="C1148" t="s">
        <v>851</v>
      </c>
      <c r="D1148" t="s">
        <v>28</v>
      </c>
      <c r="E1148" t="s">
        <v>26</v>
      </c>
      <c r="F1148" t="s">
        <v>52</v>
      </c>
      <c r="G1148" t="s">
        <v>28</v>
      </c>
      <c r="H1148">
        <v>40</v>
      </c>
      <c r="I1148">
        <v>20</v>
      </c>
      <c r="K1148">
        <v>79</v>
      </c>
      <c r="L1148">
        <v>3.9</v>
      </c>
      <c r="M1148">
        <v>119</v>
      </c>
      <c r="N1148">
        <v>11</v>
      </c>
      <c r="O1148">
        <v>19</v>
      </c>
      <c r="R1148">
        <v>1</v>
      </c>
      <c r="S1148">
        <v>2.5</v>
      </c>
      <c r="T1148">
        <v>53</v>
      </c>
      <c r="U1148">
        <v>112</v>
      </c>
      <c r="V1148">
        <v>5697</v>
      </c>
      <c r="W1148">
        <v>20</v>
      </c>
      <c r="X1148" t="s">
        <v>757</v>
      </c>
    </row>
    <row r="1149" spans="1:24">
      <c r="A1149" t="str">
        <f>Hyperlink("https://www.diodes.com/part/view/DMP4009SPSWQ","DMP4009SPSWQ")</f>
        <v>DMP4009SPSWQ</v>
      </c>
      <c r="B1149" t="str">
        <f>Hyperlink("https://www.diodes.com/assets/Datasheets/DMP4009SPSWQ.pdf","DMP4009SPSWQ Datasheet")</f>
        <v>DMP4009SPSWQ Datasheet</v>
      </c>
      <c r="C1149" t="s">
        <v>851</v>
      </c>
      <c r="D1149" t="s">
        <v>25</v>
      </c>
      <c r="E1149" t="s">
        <v>33</v>
      </c>
      <c r="F1149" t="s">
        <v>52</v>
      </c>
      <c r="G1149" t="s">
        <v>28</v>
      </c>
      <c r="H1149">
        <v>40</v>
      </c>
      <c r="I1149">
        <v>20</v>
      </c>
      <c r="K1149">
        <v>79</v>
      </c>
      <c r="L1149">
        <v>3.9</v>
      </c>
      <c r="M1149">
        <v>119</v>
      </c>
      <c r="N1149">
        <v>11</v>
      </c>
      <c r="O1149">
        <v>19</v>
      </c>
      <c r="R1149" t="s">
        <v>852</v>
      </c>
      <c r="S1149">
        <v>2.5</v>
      </c>
      <c r="T1149">
        <v>53</v>
      </c>
      <c r="U1149">
        <v>112</v>
      </c>
      <c r="V1149">
        <v>5697</v>
      </c>
      <c r="W1149">
        <v>20</v>
      </c>
      <c r="X1149" t="s">
        <v>757</v>
      </c>
    </row>
    <row r="1150" spans="1:24">
      <c r="A1150" t="str">
        <f>Hyperlink("https://www.diodes.com/part/view/DMP4009SSS","DMP4009SSS")</f>
        <v>DMP4009SSS</v>
      </c>
      <c r="B1150" t="str">
        <f>Hyperlink("https://www.diodes.com/assets/Datasheets/DMP4009SSS.pdf","DMP4009SSS Datasheet")</f>
        <v>DMP4009SSS Datasheet</v>
      </c>
      <c r="C1150" t="s">
        <v>851</v>
      </c>
      <c r="D1150" t="s">
        <v>28</v>
      </c>
      <c r="E1150" t="s">
        <v>26</v>
      </c>
      <c r="F1150" t="s">
        <v>52</v>
      </c>
      <c r="G1150" t="s">
        <v>28</v>
      </c>
      <c r="H1150">
        <v>40</v>
      </c>
      <c r="I1150">
        <v>20</v>
      </c>
      <c r="J1150">
        <v>10</v>
      </c>
      <c r="L1150">
        <v>2.1</v>
      </c>
      <c r="N1150">
        <v>11</v>
      </c>
      <c r="O1150">
        <v>19</v>
      </c>
      <c r="R1150">
        <v>1</v>
      </c>
      <c r="S1150">
        <v>2.5</v>
      </c>
      <c r="T1150">
        <v>53</v>
      </c>
      <c r="U1150">
        <v>112</v>
      </c>
      <c r="V1150">
        <v>5697</v>
      </c>
      <c r="W1150">
        <v>20</v>
      </c>
      <c r="X1150" t="s">
        <v>155</v>
      </c>
    </row>
    <row r="1151" spans="1:24">
      <c r="A1151" t="str">
        <f>Hyperlink("https://www.diodes.com/part/view/DMP4009SSSQ","DMP4009SSSQ")</f>
        <v>DMP4009SSSQ</v>
      </c>
      <c r="B1151" t="str">
        <f>Hyperlink("https://www.diodes.com/assets/Datasheets/DMP4009SSSQ.pdf","DMP4009SSSQ Datasheet")</f>
        <v>DMP4009SSSQ Datasheet</v>
      </c>
      <c r="C1151" t="s">
        <v>851</v>
      </c>
      <c r="D1151" t="s">
        <v>25</v>
      </c>
      <c r="E1151" t="s">
        <v>33</v>
      </c>
      <c r="F1151" t="s">
        <v>52</v>
      </c>
      <c r="G1151" t="s">
        <v>28</v>
      </c>
      <c r="H1151">
        <v>40</v>
      </c>
      <c r="I1151">
        <v>20</v>
      </c>
      <c r="J1151">
        <v>10</v>
      </c>
      <c r="L1151">
        <v>2.1</v>
      </c>
      <c r="N1151">
        <v>11</v>
      </c>
      <c r="O1151">
        <v>19</v>
      </c>
      <c r="R1151">
        <v>1</v>
      </c>
      <c r="S1151">
        <v>2.5</v>
      </c>
      <c r="T1151">
        <v>53</v>
      </c>
      <c r="U1151">
        <v>112</v>
      </c>
      <c r="V1151">
        <v>5697</v>
      </c>
      <c r="W1151">
        <v>20</v>
      </c>
      <c r="X1151" t="s">
        <v>155</v>
      </c>
    </row>
    <row r="1152" spans="1:24">
      <c r="A1152" t="str">
        <f>Hyperlink("https://www.diodes.com/part/view/DMP4010SK3","DMP4010SK3")</f>
        <v>DMP4010SK3</v>
      </c>
      <c r="B1152" t="str">
        <f>Hyperlink("https://www.diodes.com/assets/Datasheets/DMP4010SK3.pdf","DMP4010SK3 Datasheet")</f>
        <v>DMP4010SK3 Datasheet</v>
      </c>
      <c r="C1152" t="s">
        <v>51</v>
      </c>
      <c r="D1152" t="s">
        <v>25</v>
      </c>
      <c r="E1152" t="s">
        <v>26</v>
      </c>
      <c r="F1152" t="s">
        <v>52</v>
      </c>
      <c r="G1152" t="s">
        <v>28</v>
      </c>
      <c r="H1152">
        <v>40</v>
      </c>
      <c r="I1152">
        <v>25</v>
      </c>
      <c r="J1152">
        <v>15</v>
      </c>
      <c r="L1152">
        <v>3.3</v>
      </c>
      <c r="N1152">
        <v>9.9</v>
      </c>
      <c r="O1152">
        <v>14</v>
      </c>
      <c r="S1152">
        <v>2.5</v>
      </c>
      <c r="T1152">
        <v>42.7</v>
      </c>
      <c r="U1152">
        <v>91</v>
      </c>
      <c r="V1152">
        <v>4234</v>
      </c>
      <c r="W1152">
        <v>20</v>
      </c>
      <c r="X1152" t="s">
        <v>507</v>
      </c>
    </row>
    <row r="1153" spans="1:24">
      <c r="A1153" t="str">
        <f>Hyperlink("https://www.diodes.com/part/view/DMP4010SK3Q","DMP4010SK3Q")</f>
        <v>DMP4010SK3Q</v>
      </c>
      <c r="B1153" t="str">
        <f>Hyperlink("https://www.diodes.com/assets/Datasheets/DMP4010SK3Q.pdf","DMP4010SK3Q Datasheet")</f>
        <v>DMP4010SK3Q Datasheet</v>
      </c>
      <c r="C1153" t="s">
        <v>51</v>
      </c>
      <c r="D1153" t="s">
        <v>25</v>
      </c>
      <c r="E1153" t="s">
        <v>33</v>
      </c>
      <c r="F1153" t="s">
        <v>52</v>
      </c>
      <c r="G1153" t="s">
        <v>28</v>
      </c>
      <c r="H1153">
        <v>40</v>
      </c>
      <c r="I1153">
        <v>25</v>
      </c>
      <c r="J1153">
        <v>15</v>
      </c>
      <c r="L1153">
        <v>3.3</v>
      </c>
      <c r="N1153">
        <v>9.9</v>
      </c>
      <c r="O1153">
        <v>14</v>
      </c>
      <c r="S1153">
        <v>2.5</v>
      </c>
      <c r="T1153">
        <v>42.7</v>
      </c>
      <c r="U1153">
        <v>91</v>
      </c>
      <c r="W1153">
        <v>20</v>
      </c>
      <c r="X1153" t="s">
        <v>507</v>
      </c>
    </row>
    <row r="1154" spans="1:24">
      <c r="A1154" t="str">
        <f>Hyperlink("https://www.diodes.com/part/view/DMP4011SK3","DMP4011SK3")</f>
        <v>DMP4011SK3</v>
      </c>
      <c r="B1154" t="str">
        <f>Hyperlink("https://www.diodes.com/assets/Datasheets/DMP4011SK3.pdf","DMP4011SK3 Datasheet")</f>
        <v>DMP4011SK3 Datasheet</v>
      </c>
      <c r="C1154" t="s">
        <v>51</v>
      </c>
      <c r="D1154" t="s">
        <v>28</v>
      </c>
      <c r="E1154" t="s">
        <v>26</v>
      </c>
      <c r="F1154" t="s">
        <v>52</v>
      </c>
      <c r="G1154" t="s">
        <v>28</v>
      </c>
      <c r="H1154">
        <v>40</v>
      </c>
      <c r="I1154">
        <v>20</v>
      </c>
      <c r="J1154">
        <v>14</v>
      </c>
      <c r="L1154">
        <v>3.1</v>
      </c>
      <c r="N1154">
        <v>11</v>
      </c>
      <c r="O1154">
        <v>19</v>
      </c>
      <c r="S1154">
        <v>2.5</v>
      </c>
      <c r="T1154">
        <v>25</v>
      </c>
      <c r="U1154">
        <v>52</v>
      </c>
      <c r="V1154">
        <v>2747</v>
      </c>
      <c r="W1154">
        <v>20</v>
      </c>
      <c r="X1154" t="s">
        <v>507</v>
      </c>
    </row>
    <row r="1155" spans="1:24">
      <c r="A1155" t="str">
        <f>Hyperlink("https://www.diodes.com/part/view/DMP4011SK3Q","DMP4011SK3Q")</f>
        <v>DMP4011SK3Q</v>
      </c>
      <c r="B1155" t="str">
        <f>Hyperlink("https://www.diodes.com/assets/Datasheets/DMP4011SK3Q.pdf","DMP4011SK3Q Datasheet")</f>
        <v>DMP4011SK3Q Datasheet</v>
      </c>
      <c r="C1155" t="s">
        <v>51</v>
      </c>
      <c r="D1155" t="s">
        <v>25</v>
      </c>
      <c r="E1155" t="s">
        <v>33</v>
      </c>
      <c r="F1155" t="s">
        <v>52</v>
      </c>
      <c r="G1155" t="s">
        <v>28</v>
      </c>
      <c r="H1155">
        <v>40</v>
      </c>
      <c r="I1155">
        <v>20</v>
      </c>
      <c r="J1155">
        <v>14</v>
      </c>
      <c r="L1155">
        <v>3.1</v>
      </c>
      <c r="N1155">
        <v>11</v>
      </c>
      <c r="O1155">
        <v>19</v>
      </c>
      <c r="S1155">
        <v>2.5</v>
      </c>
      <c r="T1155">
        <v>25</v>
      </c>
      <c r="U1155">
        <v>52</v>
      </c>
      <c r="W1155">
        <v>20</v>
      </c>
      <c r="X1155" t="s">
        <v>507</v>
      </c>
    </row>
    <row r="1156" spans="1:24">
      <c r="A1156" t="str">
        <f>Hyperlink("https://www.diodes.com/part/view/DMP4011SPS","DMP4011SPS")</f>
        <v>DMP4011SPS</v>
      </c>
      <c r="B1156" t="str">
        <f>Hyperlink("https://www.diodes.com/assets/Datasheets/DMP4011SPS.pdf","DMP4011SPS Datasheet")</f>
        <v>DMP4011SPS Datasheet</v>
      </c>
      <c r="C1156" t="s">
        <v>849</v>
      </c>
      <c r="D1156" t="s">
        <v>25</v>
      </c>
      <c r="E1156" t="s">
        <v>26</v>
      </c>
      <c r="F1156" t="s">
        <v>52</v>
      </c>
      <c r="G1156" t="s">
        <v>28</v>
      </c>
      <c r="H1156">
        <v>40</v>
      </c>
      <c r="I1156">
        <v>20</v>
      </c>
      <c r="J1156">
        <v>11.7</v>
      </c>
      <c r="K1156">
        <v>76</v>
      </c>
      <c r="L1156">
        <v>2.3</v>
      </c>
      <c r="N1156">
        <v>10</v>
      </c>
      <c r="O1156">
        <v>14</v>
      </c>
      <c r="S1156">
        <v>2.5</v>
      </c>
      <c r="T1156">
        <v>25</v>
      </c>
      <c r="U1156">
        <v>52</v>
      </c>
      <c r="V1156">
        <v>2747</v>
      </c>
      <c r="W1156">
        <v>20</v>
      </c>
      <c r="X1156" t="s">
        <v>617</v>
      </c>
    </row>
    <row r="1157" spans="1:24">
      <c r="A1157" t="str">
        <f>Hyperlink("https://www.diodes.com/part/view/DMP4011SPSQ","DMP4011SPSQ")</f>
        <v>DMP4011SPSQ</v>
      </c>
      <c r="B1157" t="str">
        <f>Hyperlink("https://www.diodes.com/assets/Datasheets/DMP4011SPSQ.pdf","DMP4011SPSQ Datasheet")</f>
        <v>DMP4011SPSQ Datasheet</v>
      </c>
      <c r="C1157" t="s">
        <v>849</v>
      </c>
      <c r="D1157" t="s">
        <v>25</v>
      </c>
      <c r="E1157" t="s">
        <v>33</v>
      </c>
      <c r="F1157" t="s">
        <v>52</v>
      </c>
      <c r="G1157" t="s">
        <v>28</v>
      </c>
      <c r="H1157">
        <v>40</v>
      </c>
      <c r="I1157">
        <v>20</v>
      </c>
      <c r="J1157">
        <v>11.7</v>
      </c>
      <c r="K1157">
        <v>76</v>
      </c>
      <c r="L1157">
        <v>2.3</v>
      </c>
      <c r="N1157">
        <v>10</v>
      </c>
      <c r="O1157">
        <v>14</v>
      </c>
      <c r="S1157">
        <v>2.5</v>
      </c>
      <c r="T1157">
        <v>25</v>
      </c>
      <c r="U1157">
        <v>52</v>
      </c>
      <c r="V1157">
        <v>2747</v>
      </c>
      <c r="W1157">
        <v>20</v>
      </c>
      <c r="X1157" t="s">
        <v>617</v>
      </c>
    </row>
    <row r="1158" spans="1:24">
      <c r="A1158" t="str">
        <f>Hyperlink("https://www.diodes.com/part/view/DMP4011SPSWQ","DMP4011SPSWQ")</f>
        <v>DMP4011SPSWQ</v>
      </c>
      <c r="B1158" t="str">
        <f>Hyperlink("https://www.diodes.com/assets/Datasheets/DMP4011SPSWQ.pdf","DMP4011SPSWQ Datasheet")</f>
        <v>DMP4011SPSWQ Datasheet</v>
      </c>
      <c r="C1158" t="s">
        <v>851</v>
      </c>
      <c r="D1158" t="s">
        <v>25</v>
      </c>
      <c r="E1158" t="s">
        <v>33</v>
      </c>
      <c r="F1158" t="s">
        <v>52</v>
      </c>
      <c r="G1158" t="s">
        <v>28</v>
      </c>
      <c r="H1158">
        <v>40</v>
      </c>
      <c r="I1158">
        <v>20</v>
      </c>
      <c r="J1158">
        <v>11.7</v>
      </c>
      <c r="K1158">
        <v>76</v>
      </c>
      <c r="L1158">
        <v>2.3</v>
      </c>
      <c r="N1158">
        <v>10</v>
      </c>
      <c r="O1158">
        <v>14</v>
      </c>
      <c r="R1158">
        <v>1</v>
      </c>
      <c r="S1158">
        <v>2.5</v>
      </c>
      <c r="T1158">
        <v>25</v>
      </c>
      <c r="U1158">
        <v>52</v>
      </c>
      <c r="V1158">
        <v>2747</v>
      </c>
      <c r="W1158">
        <v>20</v>
      </c>
      <c r="X1158" t="s">
        <v>757</v>
      </c>
    </row>
    <row r="1159" spans="1:24">
      <c r="A1159" t="str">
        <f>Hyperlink("https://www.diodes.com/part/view/DMP4013LFG","DMP4013LFG")</f>
        <v>DMP4013LFG</v>
      </c>
      <c r="B1159" t="str">
        <f>Hyperlink("https://www.diodes.com/assets/Datasheets/DMP4013LFG.pdf","DMP4013LFG Datasheet")</f>
        <v>DMP4013LFG Datasheet</v>
      </c>
      <c r="C1159" t="s">
        <v>849</v>
      </c>
      <c r="D1159" t="s">
        <v>25</v>
      </c>
      <c r="E1159" t="s">
        <v>26</v>
      </c>
      <c r="F1159" t="s">
        <v>52</v>
      </c>
      <c r="G1159" t="s">
        <v>28</v>
      </c>
      <c r="H1159">
        <v>40</v>
      </c>
      <c r="I1159">
        <v>20</v>
      </c>
      <c r="J1159">
        <v>10.3</v>
      </c>
      <c r="L1159">
        <v>2.1</v>
      </c>
      <c r="N1159">
        <v>13</v>
      </c>
      <c r="O1159">
        <v>18</v>
      </c>
      <c r="S1159">
        <v>3</v>
      </c>
      <c r="T1159">
        <v>32.5</v>
      </c>
      <c r="U1159">
        <v>68.6</v>
      </c>
      <c r="V1159">
        <v>3426</v>
      </c>
      <c r="W1159">
        <v>20</v>
      </c>
      <c r="X1159" t="s">
        <v>529</v>
      </c>
    </row>
    <row r="1160" spans="1:24">
      <c r="A1160" t="str">
        <f>Hyperlink("https://www.diodes.com/part/view/DMP4013LFGQ","DMP4013LFGQ")</f>
        <v>DMP4013LFGQ</v>
      </c>
      <c r="B1160" t="str">
        <f>Hyperlink("https://www.diodes.com/assets/Datasheets/DMP4013LFGQ.pdf","DMP4013LFGQ Datasheet")</f>
        <v>DMP4013LFGQ Datasheet</v>
      </c>
      <c r="C1160" t="s">
        <v>849</v>
      </c>
      <c r="D1160" t="s">
        <v>25</v>
      </c>
      <c r="E1160" t="s">
        <v>33</v>
      </c>
      <c r="F1160" t="s">
        <v>52</v>
      </c>
      <c r="G1160" t="s">
        <v>28</v>
      </c>
      <c r="H1160">
        <v>40</v>
      </c>
      <c r="I1160">
        <v>20</v>
      </c>
      <c r="J1160">
        <v>10.3</v>
      </c>
      <c r="L1160">
        <v>2.1</v>
      </c>
      <c r="N1160">
        <v>13</v>
      </c>
      <c r="O1160">
        <v>18</v>
      </c>
      <c r="S1160">
        <v>3</v>
      </c>
      <c r="T1160">
        <v>32.5</v>
      </c>
      <c r="U1160">
        <v>68.6</v>
      </c>
      <c r="W1160">
        <v>20</v>
      </c>
      <c r="X1160" t="s">
        <v>529</v>
      </c>
    </row>
    <row r="1161" spans="1:24">
      <c r="A1161" t="str">
        <f>Hyperlink("https://www.diodes.com/part/view/DMP4013SPS","DMP4013SPS")</f>
        <v>DMP4013SPS</v>
      </c>
      <c r="B1161" t="str">
        <f>Hyperlink("https://www.diodes.com/assets/Datasheets/DMP4013SPS.pdf","DMP4013SPS Datasheet")</f>
        <v>DMP4013SPS Datasheet</v>
      </c>
      <c r="C1161" t="s">
        <v>849</v>
      </c>
      <c r="D1161" t="s">
        <v>25</v>
      </c>
      <c r="E1161" t="s">
        <v>26</v>
      </c>
      <c r="F1161" t="s">
        <v>52</v>
      </c>
      <c r="G1161" t="s">
        <v>28</v>
      </c>
      <c r="H1161">
        <v>40</v>
      </c>
      <c r="I1161">
        <v>20</v>
      </c>
      <c r="J1161">
        <v>11</v>
      </c>
      <c r="L1161">
        <v>3.4</v>
      </c>
      <c r="N1161">
        <v>15</v>
      </c>
      <c r="O1161">
        <v>23</v>
      </c>
      <c r="S1161">
        <v>3</v>
      </c>
      <c r="T1161">
        <v>31</v>
      </c>
      <c r="U1161">
        <v>67</v>
      </c>
      <c r="V1161">
        <v>4004</v>
      </c>
      <c r="W1161">
        <v>20</v>
      </c>
      <c r="X1161" t="s">
        <v>617</v>
      </c>
    </row>
    <row r="1162" spans="1:24">
      <c r="A1162" t="str">
        <f>Hyperlink("https://www.diodes.com/part/view/DMP4013SPSQ","DMP4013SPSQ")</f>
        <v>DMP4013SPSQ</v>
      </c>
      <c r="B1162" t="str">
        <f>Hyperlink("https://www.diodes.com/assets/Datasheets/DMP4013SPSQ.pdf","DMP4013SPSQ Datasheet")</f>
        <v>DMP4013SPSQ Datasheet</v>
      </c>
      <c r="C1162" t="s">
        <v>51</v>
      </c>
      <c r="D1162" t="s">
        <v>25</v>
      </c>
      <c r="E1162" t="s">
        <v>33</v>
      </c>
      <c r="F1162" t="s">
        <v>52</v>
      </c>
      <c r="G1162" t="s">
        <v>28</v>
      </c>
      <c r="H1162">
        <v>40</v>
      </c>
      <c r="I1162">
        <v>20</v>
      </c>
      <c r="J1162">
        <v>11</v>
      </c>
      <c r="L1162">
        <v>3.4</v>
      </c>
      <c r="N1162">
        <v>15</v>
      </c>
      <c r="O1162">
        <v>23</v>
      </c>
      <c r="S1162">
        <v>3</v>
      </c>
      <c r="T1162">
        <v>31</v>
      </c>
      <c r="U1162">
        <v>67</v>
      </c>
      <c r="W1162">
        <v>20</v>
      </c>
      <c r="X1162" t="s">
        <v>617</v>
      </c>
    </row>
    <row r="1163" spans="1:24">
      <c r="A1163" t="str">
        <f>Hyperlink("https://www.diodes.com/part/view/DMP4013SPSWQ","DMP4013SPSWQ")</f>
        <v>DMP4013SPSWQ</v>
      </c>
      <c r="B1163" t="str">
        <f>Hyperlink("https://www.diodes.com/assets/Datasheets/DMP4013SPSWQ.pdf","DMP4013SPSWQ Datasheet")</f>
        <v>DMP4013SPSWQ Datasheet</v>
      </c>
      <c r="C1163" t="s">
        <v>777</v>
      </c>
      <c r="D1163" t="s">
        <v>25</v>
      </c>
      <c r="E1163" t="s">
        <v>33</v>
      </c>
      <c r="F1163" t="s">
        <v>52</v>
      </c>
      <c r="G1163" t="s">
        <v>28</v>
      </c>
      <c r="H1163">
        <v>40</v>
      </c>
      <c r="I1163">
        <v>20</v>
      </c>
      <c r="J1163">
        <v>11</v>
      </c>
      <c r="K1163">
        <v>61</v>
      </c>
      <c r="L1163">
        <v>3.4</v>
      </c>
      <c r="N1163">
        <v>15</v>
      </c>
      <c r="O1163">
        <v>23</v>
      </c>
      <c r="R1163">
        <v>1</v>
      </c>
      <c r="S1163">
        <v>3</v>
      </c>
      <c r="T1163">
        <v>31</v>
      </c>
      <c r="U1163">
        <v>67</v>
      </c>
      <c r="V1163">
        <v>4004</v>
      </c>
      <c r="W1163">
        <v>20</v>
      </c>
      <c r="X1163" t="s">
        <v>757</v>
      </c>
    </row>
    <row r="1164" spans="1:24">
      <c r="A1164" t="str">
        <f>Hyperlink("https://www.diodes.com/part/view/DMP4015SK3","DMP4015SK3")</f>
        <v>DMP4015SK3</v>
      </c>
      <c r="B1164" t="str">
        <f>Hyperlink("https://www.diodes.com/assets/Datasheets/DMP4015SK3.pdf","DMP4015SK3 Datasheet")</f>
        <v>DMP4015SK3 Datasheet</v>
      </c>
      <c r="C1164" t="s">
        <v>51</v>
      </c>
      <c r="D1164" t="s">
        <v>25</v>
      </c>
      <c r="E1164" t="s">
        <v>26</v>
      </c>
      <c r="F1164" t="s">
        <v>52</v>
      </c>
      <c r="G1164" t="s">
        <v>28</v>
      </c>
      <c r="H1164">
        <v>40</v>
      </c>
      <c r="I1164">
        <v>25</v>
      </c>
      <c r="J1164">
        <v>14</v>
      </c>
      <c r="L1164">
        <v>3.5</v>
      </c>
      <c r="N1164">
        <v>11</v>
      </c>
      <c r="O1164">
        <v>15</v>
      </c>
      <c r="S1164">
        <v>2.5</v>
      </c>
      <c r="T1164" t="s">
        <v>853</v>
      </c>
      <c r="V1164">
        <v>4234</v>
      </c>
      <c r="X1164" t="s">
        <v>507</v>
      </c>
    </row>
    <row r="1165" spans="1:24">
      <c r="A1165" t="str">
        <f>Hyperlink("https://www.diodes.com/part/view/DMP4015SK3Q","DMP4015SK3Q")</f>
        <v>DMP4015SK3Q</v>
      </c>
      <c r="B1165" t="str">
        <f>Hyperlink("https://www.diodes.com/assets/Datasheets/DMP4015SK3Q.pdf","DMP4015SK3Q Datasheet")</f>
        <v>DMP4015SK3Q Datasheet</v>
      </c>
      <c r="C1165" t="s">
        <v>51</v>
      </c>
      <c r="D1165" t="s">
        <v>25</v>
      </c>
      <c r="E1165" t="s">
        <v>33</v>
      </c>
      <c r="F1165" t="s">
        <v>52</v>
      </c>
      <c r="G1165" t="s">
        <v>28</v>
      </c>
      <c r="H1165">
        <v>40</v>
      </c>
      <c r="I1165">
        <v>25</v>
      </c>
      <c r="J1165">
        <v>14</v>
      </c>
      <c r="K1165">
        <v>35</v>
      </c>
      <c r="L1165">
        <v>3.5</v>
      </c>
      <c r="N1165">
        <v>11</v>
      </c>
      <c r="O1165">
        <v>15</v>
      </c>
      <c r="R1165">
        <v>1.5</v>
      </c>
      <c r="S1165">
        <v>2.5</v>
      </c>
      <c r="W1165">
        <v>20</v>
      </c>
      <c r="X1165" t="s">
        <v>507</v>
      </c>
    </row>
    <row r="1166" spans="1:24">
      <c r="A1166" t="str">
        <f>Hyperlink("https://www.diodes.com/part/view/DMP4015SPS","DMP4015SPS")</f>
        <v>DMP4015SPS</v>
      </c>
      <c r="B1166" t="str">
        <f>Hyperlink("https://www.diodes.com/assets/Datasheets/DMP4015SPS.pdf","DMP4015SPS Datasheet")</f>
        <v>DMP4015SPS Datasheet</v>
      </c>
      <c r="C1166" t="s">
        <v>849</v>
      </c>
      <c r="D1166" t="s">
        <v>25</v>
      </c>
      <c r="E1166" t="s">
        <v>26</v>
      </c>
      <c r="F1166" t="s">
        <v>52</v>
      </c>
      <c r="G1166" t="s">
        <v>28</v>
      </c>
      <c r="H1166">
        <v>40</v>
      </c>
      <c r="I1166">
        <v>25</v>
      </c>
      <c r="J1166">
        <v>11</v>
      </c>
      <c r="L1166">
        <v>2.1</v>
      </c>
      <c r="N1166">
        <v>11</v>
      </c>
      <c r="O1166">
        <v>15</v>
      </c>
      <c r="S1166">
        <v>2.5</v>
      </c>
      <c r="T1166" t="s">
        <v>853</v>
      </c>
      <c r="V1166">
        <v>4234</v>
      </c>
      <c r="X1166" t="s">
        <v>848</v>
      </c>
    </row>
    <row r="1167" spans="1:24">
      <c r="A1167" t="str">
        <f>Hyperlink("https://www.diodes.com/part/view/DMP4015SPSQ","DMP4015SPSQ")</f>
        <v>DMP4015SPSQ</v>
      </c>
      <c r="B1167" t="str">
        <f>Hyperlink("https://www.diodes.com/assets/Datasheets/DMP4015SPSQ.pdf","DMP4015SPSQ Datasheet")</f>
        <v>DMP4015SPSQ Datasheet</v>
      </c>
      <c r="C1167" t="s">
        <v>849</v>
      </c>
      <c r="D1167" t="s">
        <v>25</v>
      </c>
      <c r="E1167" t="s">
        <v>33</v>
      </c>
      <c r="F1167" t="s">
        <v>52</v>
      </c>
      <c r="G1167" t="s">
        <v>28</v>
      </c>
      <c r="H1167">
        <v>40</v>
      </c>
      <c r="I1167">
        <v>25</v>
      </c>
      <c r="J1167">
        <v>11</v>
      </c>
      <c r="L1167">
        <v>2.1</v>
      </c>
      <c r="N1167">
        <v>11</v>
      </c>
      <c r="O1167">
        <v>15</v>
      </c>
      <c r="S1167">
        <v>2.5</v>
      </c>
      <c r="T1167">
        <v>47.5</v>
      </c>
      <c r="X1167" t="s">
        <v>617</v>
      </c>
    </row>
    <row r="1168" spans="1:24">
      <c r="A1168" t="str">
        <f>Hyperlink("https://www.diodes.com/part/view/DMP4015SPSWQ","DMP4015SPSWQ")</f>
        <v>DMP4015SPSWQ</v>
      </c>
      <c r="B1168" t="str">
        <f>Hyperlink("https://www.diodes.com/assets/Datasheets/DMP4015SPSWQ.pdf","DMP4015SPSWQ Datasheet")</f>
        <v>DMP4015SPSWQ Datasheet</v>
      </c>
      <c r="C1168" t="s">
        <v>849</v>
      </c>
      <c r="D1168" t="s">
        <v>25</v>
      </c>
      <c r="E1168" t="s">
        <v>33</v>
      </c>
      <c r="F1168" t="s">
        <v>52</v>
      </c>
      <c r="G1168" t="s">
        <v>28</v>
      </c>
      <c r="H1168">
        <v>40</v>
      </c>
      <c r="I1168">
        <v>25</v>
      </c>
      <c r="J1168">
        <v>11</v>
      </c>
      <c r="L1168">
        <v>2.1</v>
      </c>
      <c r="N1168">
        <v>11</v>
      </c>
      <c r="O1168">
        <v>15</v>
      </c>
      <c r="R1168">
        <v>1.5</v>
      </c>
      <c r="S1168">
        <v>2.5</v>
      </c>
      <c r="V1168">
        <v>4234</v>
      </c>
      <c r="W1168">
        <v>20</v>
      </c>
      <c r="X1168" t="s">
        <v>757</v>
      </c>
    </row>
    <row r="1169" spans="1:24">
      <c r="A1169" t="str">
        <f>Hyperlink("https://www.diodes.com/part/view/DMP4015SSS","DMP4015SSS")</f>
        <v>DMP4015SSS</v>
      </c>
      <c r="B1169" t="str">
        <f>Hyperlink("https://www.diodes.com/assets/Datasheets/DMP4015SSS.pdf","DMP4015SSS Datasheet")</f>
        <v>DMP4015SSS Datasheet</v>
      </c>
      <c r="C1169" t="s">
        <v>51</v>
      </c>
      <c r="D1169" t="s">
        <v>25</v>
      </c>
      <c r="E1169" t="s">
        <v>26</v>
      </c>
      <c r="F1169" t="s">
        <v>52</v>
      </c>
      <c r="G1169" t="s">
        <v>28</v>
      </c>
      <c r="H1169">
        <v>40</v>
      </c>
      <c r="I1169">
        <v>25</v>
      </c>
      <c r="J1169">
        <v>10.1</v>
      </c>
      <c r="L1169">
        <v>1.82</v>
      </c>
      <c r="N1169">
        <v>11</v>
      </c>
      <c r="O1169">
        <v>15</v>
      </c>
      <c r="S1169">
        <v>2.5</v>
      </c>
      <c r="T1169" t="s">
        <v>853</v>
      </c>
      <c r="V1169">
        <v>4234</v>
      </c>
      <c r="X1169" t="s">
        <v>155</v>
      </c>
    </row>
    <row r="1170" spans="1:24">
      <c r="A1170" t="str">
        <f>Hyperlink("https://www.diodes.com/part/view/DMP4015SSSQ","DMP4015SSSQ")</f>
        <v>DMP4015SSSQ</v>
      </c>
      <c r="B1170" t="str">
        <f>Hyperlink("https://www.diodes.com/assets/Datasheets/DMP4015SSSQ.pdf","DMP4015SSSQ Datasheet")</f>
        <v>DMP4015SSSQ Datasheet</v>
      </c>
      <c r="C1170" t="s">
        <v>51</v>
      </c>
      <c r="D1170" t="s">
        <v>25</v>
      </c>
      <c r="E1170" t="s">
        <v>33</v>
      </c>
      <c r="F1170" t="s">
        <v>52</v>
      </c>
      <c r="G1170" t="s">
        <v>28</v>
      </c>
      <c r="H1170">
        <v>40</v>
      </c>
      <c r="I1170">
        <v>25</v>
      </c>
      <c r="J1170">
        <v>10.1</v>
      </c>
      <c r="L1170">
        <v>1.82</v>
      </c>
      <c r="N1170">
        <v>11</v>
      </c>
      <c r="O1170">
        <v>15</v>
      </c>
      <c r="S1170">
        <v>2.5</v>
      </c>
      <c r="T1170" t="s">
        <v>853</v>
      </c>
      <c r="X1170" t="s">
        <v>155</v>
      </c>
    </row>
    <row r="1171" spans="1:24">
      <c r="A1171" t="str">
        <f>Hyperlink("https://www.diodes.com/part/view/DMP4016SK3","DMP4016SK3")</f>
        <v>DMP4016SK3</v>
      </c>
      <c r="B1171" t="str">
        <f>Hyperlink("https://www.diodes.com/assets/Datasheets/DMP4016SK3.pdf","DMP4016SK3 Datasheet")</f>
        <v>DMP4016SK3 Datasheet</v>
      </c>
      <c r="C1171" t="s">
        <v>851</v>
      </c>
      <c r="D1171" t="s">
        <v>28</v>
      </c>
      <c r="E1171" t="s">
        <v>26</v>
      </c>
      <c r="F1171" t="s">
        <v>52</v>
      </c>
      <c r="G1171" t="s">
        <v>28</v>
      </c>
      <c r="H1171">
        <v>40</v>
      </c>
      <c r="I1171">
        <v>20</v>
      </c>
      <c r="K1171">
        <v>75</v>
      </c>
      <c r="L1171">
        <v>4</v>
      </c>
      <c r="M1171">
        <v>113</v>
      </c>
      <c r="N1171">
        <v>11</v>
      </c>
      <c r="O1171">
        <v>15</v>
      </c>
      <c r="R1171">
        <v>1.5</v>
      </c>
      <c r="S1171">
        <v>2.5</v>
      </c>
      <c r="T1171">
        <v>53</v>
      </c>
      <c r="U1171">
        <v>112</v>
      </c>
      <c r="V1171">
        <v>5697</v>
      </c>
      <c r="W1171">
        <v>20</v>
      </c>
      <c r="X1171" t="s">
        <v>507</v>
      </c>
    </row>
    <row r="1172" spans="1:24">
      <c r="A1172" t="str">
        <f>Hyperlink("https://www.diodes.com/part/view/DMP4016SK3Q","DMP4016SK3Q")</f>
        <v>DMP4016SK3Q</v>
      </c>
      <c r="B1172" t="str">
        <f>Hyperlink("https://www.diodes.com/assets/Datasheets/DMP4016SK3Q.pdf","DMP4016SK3Q Datasheet")</f>
        <v>DMP4016SK3Q Datasheet</v>
      </c>
      <c r="C1172" t="s">
        <v>851</v>
      </c>
      <c r="D1172" t="s">
        <v>25</v>
      </c>
      <c r="E1172" t="s">
        <v>33</v>
      </c>
      <c r="F1172" t="s">
        <v>52</v>
      </c>
      <c r="G1172" t="s">
        <v>28</v>
      </c>
      <c r="H1172">
        <v>40</v>
      </c>
      <c r="I1172">
        <v>20</v>
      </c>
      <c r="K1172">
        <v>75</v>
      </c>
      <c r="L1172">
        <v>4</v>
      </c>
      <c r="M1172">
        <v>113</v>
      </c>
      <c r="N1172">
        <v>11</v>
      </c>
      <c r="O1172">
        <v>15</v>
      </c>
      <c r="R1172">
        <v>1.5</v>
      </c>
      <c r="S1172">
        <v>2.5</v>
      </c>
      <c r="T1172">
        <v>53</v>
      </c>
      <c r="U1172">
        <v>112</v>
      </c>
      <c r="V1172">
        <v>5697</v>
      </c>
      <c r="W1172">
        <v>20</v>
      </c>
      <c r="X1172" t="s">
        <v>507</v>
      </c>
    </row>
    <row r="1173" spans="1:24">
      <c r="A1173" t="str">
        <f>Hyperlink("https://www.diodes.com/part/view/DMP4016SPSW","DMP4016SPSW")</f>
        <v>DMP4016SPSW</v>
      </c>
      <c r="B1173" t="str">
        <f>Hyperlink("https://www.diodes.com/assets/Datasheets/DMP4016SPSW.pdf","DMP4016SPSW Datasheet")</f>
        <v>DMP4016SPSW Datasheet</v>
      </c>
      <c r="C1173" t="s">
        <v>851</v>
      </c>
      <c r="D1173" t="s">
        <v>28</v>
      </c>
      <c r="E1173" t="s">
        <v>26</v>
      </c>
      <c r="F1173" t="s">
        <v>52</v>
      </c>
      <c r="G1173" t="s">
        <v>28</v>
      </c>
      <c r="H1173">
        <v>40</v>
      </c>
      <c r="I1173">
        <v>20</v>
      </c>
      <c r="K1173">
        <v>86</v>
      </c>
      <c r="L1173">
        <v>3.9</v>
      </c>
      <c r="M1173">
        <v>119</v>
      </c>
      <c r="N1173">
        <v>10</v>
      </c>
      <c r="O1173">
        <v>14</v>
      </c>
      <c r="R1173">
        <v>1.5</v>
      </c>
      <c r="S1173">
        <v>2.5</v>
      </c>
      <c r="T1173">
        <v>53</v>
      </c>
      <c r="U1173">
        <v>112</v>
      </c>
      <c r="V1173">
        <v>5697</v>
      </c>
      <c r="W1173">
        <v>20</v>
      </c>
      <c r="X1173" t="s">
        <v>757</v>
      </c>
    </row>
    <row r="1174" spans="1:24">
      <c r="A1174" t="str">
        <f>Hyperlink("https://www.diodes.com/part/view/DMP4016SPSWQ","DMP4016SPSWQ")</f>
        <v>DMP4016SPSWQ</v>
      </c>
      <c r="B1174" t="str">
        <f>Hyperlink("https://www.diodes.com/assets/Datasheets/DMP4016SPSWQ.pdf","DMP4016SPSWQ Datasheet")</f>
        <v>DMP4016SPSWQ Datasheet</v>
      </c>
      <c r="C1174" t="s">
        <v>851</v>
      </c>
      <c r="D1174" t="s">
        <v>25</v>
      </c>
      <c r="E1174" t="s">
        <v>33</v>
      </c>
      <c r="F1174" t="s">
        <v>52</v>
      </c>
      <c r="G1174" t="s">
        <v>28</v>
      </c>
      <c r="H1174">
        <v>40</v>
      </c>
      <c r="I1174">
        <v>20</v>
      </c>
      <c r="K1174">
        <v>86</v>
      </c>
      <c r="L1174">
        <v>3.9</v>
      </c>
      <c r="M1174">
        <v>119</v>
      </c>
      <c r="N1174">
        <v>10</v>
      </c>
      <c r="O1174">
        <v>14</v>
      </c>
      <c r="R1174">
        <v>1.5</v>
      </c>
      <c r="S1174">
        <v>2.5</v>
      </c>
      <c r="T1174">
        <v>53</v>
      </c>
      <c r="U1174">
        <v>112</v>
      </c>
      <c r="V1174">
        <v>5697</v>
      </c>
      <c r="W1174">
        <v>20</v>
      </c>
      <c r="X1174" t="s">
        <v>757</v>
      </c>
    </row>
    <row r="1175" spans="1:24">
      <c r="A1175" t="str">
        <f>Hyperlink("https://www.diodes.com/part/view/DMP4016SSS","DMP4016SSS")</f>
        <v>DMP4016SSS</v>
      </c>
      <c r="B1175" t="str">
        <f>Hyperlink("https://www.diodes.com/assets/Datasheets/DMP4016SSS.pdf","DMP4016SSS Datasheet")</f>
        <v>DMP4016SSS Datasheet</v>
      </c>
      <c r="C1175" t="s">
        <v>851</v>
      </c>
      <c r="D1175" t="s">
        <v>28</v>
      </c>
      <c r="E1175" t="s">
        <v>26</v>
      </c>
      <c r="F1175" t="s">
        <v>52</v>
      </c>
      <c r="G1175" t="s">
        <v>28</v>
      </c>
      <c r="H1175">
        <v>40</v>
      </c>
      <c r="I1175">
        <v>20</v>
      </c>
      <c r="J1175">
        <v>10.8</v>
      </c>
      <c r="L1175">
        <v>2.1</v>
      </c>
      <c r="N1175">
        <v>11</v>
      </c>
      <c r="O1175">
        <v>15</v>
      </c>
      <c r="R1175">
        <v>1.5</v>
      </c>
      <c r="S1175">
        <v>2.5</v>
      </c>
      <c r="T1175">
        <v>53</v>
      </c>
      <c r="U1175">
        <v>112</v>
      </c>
      <c r="V1175">
        <v>5697</v>
      </c>
      <c r="W1175">
        <v>20</v>
      </c>
      <c r="X1175" t="s">
        <v>155</v>
      </c>
    </row>
    <row r="1176" spans="1:24">
      <c r="A1176" t="str">
        <f>Hyperlink("https://www.diodes.com/part/view/DMP4016SSSQ","DMP4016SSSQ")</f>
        <v>DMP4016SSSQ</v>
      </c>
      <c r="B1176" t="str">
        <f>Hyperlink("https://www.diodes.com/assets/Datasheets/DMP4016SSSQ.pdf","DMP4016SSSQ Datasheet")</f>
        <v>DMP4016SSSQ Datasheet</v>
      </c>
      <c r="C1176" t="s">
        <v>851</v>
      </c>
      <c r="D1176" t="s">
        <v>25</v>
      </c>
      <c r="E1176" t="s">
        <v>33</v>
      </c>
      <c r="F1176" t="s">
        <v>52</v>
      </c>
      <c r="G1176" t="s">
        <v>28</v>
      </c>
      <c r="H1176">
        <v>40</v>
      </c>
      <c r="I1176">
        <v>20</v>
      </c>
      <c r="J1176">
        <v>10.8</v>
      </c>
      <c r="L1176">
        <v>2.1</v>
      </c>
      <c r="N1176">
        <v>11</v>
      </c>
      <c r="O1176">
        <v>15</v>
      </c>
      <c r="R1176">
        <v>1.5</v>
      </c>
      <c r="S1176">
        <v>2.5</v>
      </c>
      <c r="T1176">
        <v>53</v>
      </c>
      <c r="U1176">
        <v>112</v>
      </c>
      <c r="V1176">
        <v>5697</v>
      </c>
      <c r="W1176">
        <v>20</v>
      </c>
      <c r="X1176" t="s">
        <v>155</v>
      </c>
    </row>
    <row r="1177" spans="1:24">
      <c r="A1177" t="str">
        <f>Hyperlink("https://www.diodes.com/part/view/DMP4025LK3Q","DMP4025LK3Q")</f>
        <v>DMP4025LK3Q</v>
      </c>
      <c r="B1177" t="str">
        <f>Hyperlink("https://www.diodes.com/assets/Datasheets/DMP4025LK3Q.pdf","DMP4025LK3Q Datasheet")</f>
        <v>DMP4025LK3Q Datasheet</v>
      </c>
      <c r="C1177" t="s">
        <v>849</v>
      </c>
      <c r="D1177" t="s">
        <v>25</v>
      </c>
      <c r="E1177" t="s">
        <v>33</v>
      </c>
      <c r="F1177" t="s">
        <v>52</v>
      </c>
      <c r="G1177" t="s">
        <v>28</v>
      </c>
      <c r="H1177">
        <v>40</v>
      </c>
      <c r="I1177">
        <v>20</v>
      </c>
      <c r="J1177">
        <v>8.6</v>
      </c>
      <c r="L1177">
        <v>2.78</v>
      </c>
      <c r="N1177">
        <v>25</v>
      </c>
      <c r="O1177">
        <v>45</v>
      </c>
      <c r="S1177">
        <v>1.8</v>
      </c>
      <c r="T1177">
        <v>14</v>
      </c>
      <c r="U1177">
        <v>33.7</v>
      </c>
      <c r="W1177">
        <v>20</v>
      </c>
      <c r="X1177" t="s">
        <v>507</v>
      </c>
    </row>
    <row r="1178" spans="1:24">
      <c r="A1178" t="str">
        <f>Hyperlink("https://www.diodes.com/part/view/DMP4025LSS","DMP4025LSS")</f>
        <v>DMP4025LSS</v>
      </c>
      <c r="B1178" t="str">
        <f>Hyperlink("https://www.diodes.com/assets/Datasheets/DMP4025LSS.pdf","DMP4025LSS Datasheet")</f>
        <v>DMP4025LSS Datasheet</v>
      </c>
      <c r="C1178" t="s">
        <v>51</v>
      </c>
      <c r="D1178" t="s">
        <v>25</v>
      </c>
      <c r="E1178" t="s">
        <v>26</v>
      </c>
      <c r="F1178" t="s">
        <v>52</v>
      </c>
      <c r="G1178" t="s">
        <v>28</v>
      </c>
      <c r="H1178">
        <v>40</v>
      </c>
      <c r="I1178">
        <v>20</v>
      </c>
      <c r="J1178">
        <v>8</v>
      </c>
      <c r="L1178">
        <v>2.4</v>
      </c>
      <c r="N1178">
        <v>25</v>
      </c>
      <c r="O1178">
        <v>45</v>
      </c>
      <c r="S1178">
        <v>1.8</v>
      </c>
      <c r="T1178">
        <v>14</v>
      </c>
      <c r="U1178">
        <v>33.7</v>
      </c>
      <c r="V1178">
        <v>1640</v>
      </c>
      <c r="X1178" t="s">
        <v>155</v>
      </c>
    </row>
    <row r="1179" spans="1:24">
      <c r="A1179" t="str">
        <f>Hyperlink("https://www.diodes.com/part/view/DMP4025LSSQ","DMP4025LSSQ")</f>
        <v>DMP4025LSSQ</v>
      </c>
      <c r="B1179" t="str">
        <f>Hyperlink("https://www.diodes.com/assets/Datasheets/DMP4025LSSQ.pdf","DMP4025LSSQ Datasheet")</f>
        <v>DMP4025LSSQ Datasheet</v>
      </c>
      <c r="C1179" t="s">
        <v>849</v>
      </c>
      <c r="D1179" t="s">
        <v>25</v>
      </c>
      <c r="E1179" t="s">
        <v>33</v>
      </c>
      <c r="F1179" t="s">
        <v>52</v>
      </c>
      <c r="G1179" t="s">
        <v>28</v>
      </c>
      <c r="H1179">
        <v>40</v>
      </c>
      <c r="I1179">
        <v>20</v>
      </c>
      <c r="J1179">
        <v>8</v>
      </c>
      <c r="L1179">
        <v>2.4</v>
      </c>
      <c r="N1179">
        <v>25</v>
      </c>
      <c r="O1179">
        <v>45</v>
      </c>
      <c r="S1179">
        <v>1.8</v>
      </c>
      <c r="T1179">
        <v>14</v>
      </c>
      <c r="U1179">
        <v>33.7</v>
      </c>
      <c r="W1179">
        <v>20</v>
      </c>
      <c r="X1179" t="s">
        <v>155</v>
      </c>
    </row>
    <row r="1180" spans="1:24">
      <c r="A1180" t="str">
        <f>Hyperlink("https://www.diodes.com/part/view/DMP4026LK3","DMP4026LK3")</f>
        <v>DMP4026LK3</v>
      </c>
      <c r="B1180" t="str">
        <f>Hyperlink("https://www.diodes.com/assets/Datasheets/DMP4026LK3.pdf","DMP4026LK3 Datasheet")</f>
        <v>DMP4026LK3 Datasheet</v>
      </c>
      <c r="C1180" t="s">
        <v>851</v>
      </c>
      <c r="D1180" t="s">
        <v>28</v>
      </c>
      <c r="E1180" t="s">
        <v>26</v>
      </c>
      <c r="F1180" t="s">
        <v>52</v>
      </c>
      <c r="G1180" t="s">
        <v>28</v>
      </c>
      <c r="H1180">
        <v>40</v>
      </c>
      <c r="I1180">
        <v>20</v>
      </c>
      <c r="K1180">
        <v>40</v>
      </c>
      <c r="L1180">
        <v>3.5</v>
      </c>
      <c r="M1180">
        <v>70</v>
      </c>
      <c r="N1180">
        <v>25</v>
      </c>
      <c r="O1180">
        <v>45</v>
      </c>
      <c r="R1180">
        <v>0.8</v>
      </c>
      <c r="S1180">
        <v>1.8</v>
      </c>
      <c r="T1180">
        <v>23.5</v>
      </c>
      <c r="U1180">
        <v>45.8</v>
      </c>
      <c r="V1180">
        <v>2064</v>
      </c>
      <c r="W1180">
        <v>20</v>
      </c>
      <c r="X1180" t="s">
        <v>507</v>
      </c>
    </row>
    <row r="1181" spans="1:24">
      <c r="A1181" t="str">
        <f>Hyperlink("https://www.diodes.com/part/view/DMP4026LK3Q","DMP4026LK3Q")</f>
        <v>DMP4026LK3Q</v>
      </c>
      <c r="B1181" t="str">
        <f>Hyperlink("https://www.diodes.com/assets/Datasheets/DMP4026LK3Q.pdf","DMP4026LK3Q Datasheet")</f>
        <v>DMP4026LK3Q Datasheet</v>
      </c>
      <c r="C1181" t="s">
        <v>851</v>
      </c>
      <c r="D1181" t="s">
        <v>25</v>
      </c>
      <c r="E1181" t="s">
        <v>33</v>
      </c>
      <c r="F1181" t="s">
        <v>52</v>
      </c>
      <c r="G1181" t="s">
        <v>28</v>
      </c>
      <c r="H1181">
        <v>40</v>
      </c>
      <c r="I1181">
        <v>20</v>
      </c>
      <c r="K1181">
        <v>40</v>
      </c>
      <c r="L1181">
        <v>3.5</v>
      </c>
      <c r="M1181">
        <v>70</v>
      </c>
      <c r="N1181">
        <v>25</v>
      </c>
      <c r="O1181">
        <v>45</v>
      </c>
      <c r="R1181">
        <v>0.8</v>
      </c>
      <c r="S1181">
        <v>1.8</v>
      </c>
      <c r="T1181">
        <v>23.5</v>
      </c>
      <c r="U1181">
        <v>45.8</v>
      </c>
      <c r="V1181">
        <v>2064</v>
      </c>
      <c r="W1181">
        <v>20</v>
      </c>
      <c r="X1181" t="s">
        <v>507</v>
      </c>
    </row>
    <row r="1182" spans="1:24">
      <c r="A1182" t="str">
        <f>Hyperlink("https://www.diodes.com/part/view/DMP4026LSD","DMP4026LSD")</f>
        <v>DMP4026LSD</v>
      </c>
      <c r="B1182" t="str">
        <f>Hyperlink("https://www.diodes.com/assets/Datasheets/DMP4026LSD.pdf","DMP4026LSD Datasheet")</f>
        <v>DMP4026LSD Datasheet</v>
      </c>
      <c r="C1182" t="s">
        <v>854</v>
      </c>
      <c r="D1182" t="s">
        <v>25</v>
      </c>
      <c r="E1182" t="s">
        <v>26</v>
      </c>
      <c r="F1182" t="s">
        <v>78</v>
      </c>
      <c r="G1182" t="s">
        <v>28</v>
      </c>
      <c r="H1182">
        <v>40</v>
      </c>
      <c r="I1182">
        <v>20</v>
      </c>
      <c r="J1182">
        <v>6.5</v>
      </c>
      <c r="L1182">
        <v>1.7</v>
      </c>
      <c r="N1182">
        <v>25</v>
      </c>
      <c r="O1182">
        <v>45</v>
      </c>
      <c r="R1182">
        <v>0.8</v>
      </c>
      <c r="S1182">
        <v>1.8</v>
      </c>
      <c r="T1182">
        <v>23.5</v>
      </c>
      <c r="U1182">
        <v>45.8</v>
      </c>
      <c r="V1182">
        <v>2064</v>
      </c>
      <c r="W1182">
        <v>20</v>
      </c>
      <c r="X1182" t="s">
        <v>155</v>
      </c>
    </row>
    <row r="1183" spans="1:24">
      <c r="A1183" t="str">
        <f>Hyperlink("https://www.diodes.com/part/view/DMP4026LSDQ","DMP4026LSDQ")</f>
        <v>DMP4026LSDQ</v>
      </c>
      <c r="B1183" t="str">
        <f>Hyperlink("https://www.diodes.com/assets/Datasheets/DMP4026LSDQ.pdf","DMP4026LSDQ Datasheet")</f>
        <v>DMP4026LSDQ Datasheet</v>
      </c>
      <c r="C1183" t="s">
        <v>854</v>
      </c>
      <c r="D1183" t="s">
        <v>25</v>
      </c>
      <c r="E1183" t="s">
        <v>33</v>
      </c>
      <c r="F1183" t="s">
        <v>78</v>
      </c>
      <c r="G1183" t="s">
        <v>28</v>
      </c>
      <c r="H1183">
        <v>40</v>
      </c>
      <c r="I1183">
        <v>20</v>
      </c>
      <c r="J1183">
        <v>6.5</v>
      </c>
      <c r="L1183">
        <v>1.7</v>
      </c>
      <c r="N1183">
        <v>25</v>
      </c>
      <c r="O1183">
        <v>45</v>
      </c>
      <c r="R1183">
        <v>0.8</v>
      </c>
      <c r="S1183">
        <v>1.8</v>
      </c>
      <c r="T1183">
        <v>23.5</v>
      </c>
      <c r="U1183">
        <v>45.8</v>
      </c>
      <c r="V1183">
        <v>2064</v>
      </c>
      <c r="W1183">
        <v>20</v>
      </c>
      <c r="X1183" t="s">
        <v>155</v>
      </c>
    </row>
    <row r="1184" spans="1:24">
      <c r="A1184" t="str">
        <f>Hyperlink("https://www.diodes.com/part/view/DMP4026LSS","DMP4026LSS")</f>
        <v>DMP4026LSS</v>
      </c>
      <c r="B1184" t="str">
        <f>Hyperlink("https://www.diodes.com/assets/Datasheets/DMP4026LSS.pdf","DMP4026LSS Datasheet")</f>
        <v>DMP4026LSS Datasheet</v>
      </c>
      <c r="C1184" t="s">
        <v>851</v>
      </c>
      <c r="D1184" t="s">
        <v>25</v>
      </c>
      <c r="E1184" t="s">
        <v>26</v>
      </c>
      <c r="F1184" t="s">
        <v>52</v>
      </c>
      <c r="G1184" t="s">
        <v>28</v>
      </c>
      <c r="H1184">
        <v>40</v>
      </c>
      <c r="I1184">
        <v>20</v>
      </c>
      <c r="J1184">
        <v>7.2</v>
      </c>
      <c r="L1184">
        <v>2</v>
      </c>
      <c r="N1184">
        <v>25</v>
      </c>
      <c r="O1184">
        <v>45</v>
      </c>
      <c r="R1184">
        <v>0.8</v>
      </c>
      <c r="S1184">
        <v>1.8</v>
      </c>
      <c r="T1184">
        <v>23.5</v>
      </c>
      <c r="U1184">
        <v>45</v>
      </c>
      <c r="V1184">
        <v>2083</v>
      </c>
      <c r="W1184">
        <v>20</v>
      </c>
      <c r="X1184" t="s">
        <v>155</v>
      </c>
    </row>
    <row r="1185" spans="1:24">
      <c r="A1185" t="str">
        <f>Hyperlink("https://www.diodes.com/part/view/DMP4026LSSQ","DMP4026LSSQ")</f>
        <v>DMP4026LSSQ</v>
      </c>
      <c r="B1185" t="str">
        <f>Hyperlink("https://www.diodes.com/assets/Datasheets/DMP4026LSSQ.pdf","DMP4026LSSQ Datasheet")</f>
        <v>DMP4026LSSQ Datasheet</v>
      </c>
      <c r="C1185" t="s">
        <v>851</v>
      </c>
      <c r="D1185" t="s">
        <v>25</v>
      </c>
      <c r="E1185" t="s">
        <v>33</v>
      </c>
      <c r="F1185" t="s">
        <v>52</v>
      </c>
      <c r="G1185" t="s">
        <v>28</v>
      </c>
      <c r="H1185">
        <v>40</v>
      </c>
      <c r="I1185">
        <v>20</v>
      </c>
      <c r="J1185">
        <v>7.2</v>
      </c>
      <c r="L1185">
        <v>2</v>
      </c>
      <c r="N1185">
        <v>25</v>
      </c>
      <c r="O1185">
        <v>45</v>
      </c>
      <c r="R1185">
        <v>0.8</v>
      </c>
      <c r="S1185">
        <v>1.8</v>
      </c>
      <c r="T1185">
        <v>23.5</v>
      </c>
      <c r="U1185">
        <v>45</v>
      </c>
      <c r="V1185">
        <v>2083</v>
      </c>
      <c r="W1185">
        <v>20</v>
      </c>
      <c r="X1185" t="s">
        <v>155</v>
      </c>
    </row>
    <row r="1186" spans="1:24">
      <c r="A1186" t="str">
        <f>Hyperlink("https://www.diodes.com/part/view/DMP4026SFG","DMP4026SFG")</f>
        <v>DMP4026SFG</v>
      </c>
      <c r="B1186" t="str">
        <f>Hyperlink("https://www.diodes.com/assets/Datasheets/DMP4026SFG.pdf","DMP4026SFG Datasheet")</f>
        <v>DMP4026SFG Datasheet</v>
      </c>
      <c r="C1186" t="s">
        <v>851</v>
      </c>
      <c r="D1186" t="s">
        <v>25</v>
      </c>
      <c r="E1186" t="s">
        <v>26</v>
      </c>
      <c r="F1186" t="s">
        <v>52</v>
      </c>
      <c r="G1186" t="s">
        <v>28</v>
      </c>
      <c r="H1186">
        <v>40</v>
      </c>
      <c r="I1186">
        <v>20</v>
      </c>
      <c r="K1186">
        <v>28</v>
      </c>
      <c r="M1186">
        <v>33</v>
      </c>
      <c r="N1186">
        <v>25</v>
      </c>
      <c r="O1186">
        <v>45</v>
      </c>
      <c r="R1186">
        <v>0.8</v>
      </c>
      <c r="S1186">
        <v>1.8</v>
      </c>
      <c r="T1186">
        <v>25</v>
      </c>
      <c r="U1186">
        <v>48</v>
      </c>
      <c r="V1186">
        <v>2275</v>
      </c>
      <c r="W1186">
        <v>20</v>
      </c>
      <c r="X1186" t="s">
        <v>529</v>
      </c>
    </row>
    <row r="1187" spans="1:24">
      <c r="A1187" t="str">
        <f>Hyperlink("https://www.diodes.com/part/view/DMP4026SFGQ","DMP4026SFGQ")</f>
        <v>DMP4026SFGQ</v>
      </c>
      <c r="B1187" t="str">
        <f>Hyperlink("https://www.diodes.com/assets/Datasheets/DMP4026SFGQ.pdf","DMP4026SFGQ Datasheet")</f>
        <v>DMP4026SFGQ Datasheet</v>
      </c>
      <c r="C1187" t="s">
        <v>851</v>
      </c>
      <c r="D1187" t="s">
        <v>25</v>
      </c>
      <c r="E1187" t="s">
        <v>33</v>
      </c>
      <c r="F1187" t="s">
        <v>52</v>
      </c>
      <c r="G1187" t="s">
        <v>28</v>
      </c>
      <c r="H1187">
        <v>40</v>
      </c>
      <c r="I1187">
        <v>20</v>
      </c>
      <c r="K1187">
        <v>28</v>
      </c>
      <c r="M1187">
        <v>33</v>
      </c>
      <c r="N1187">
        <v>25</v>
      </c>
      <c r="O1187">
        <v>45</v>
      </c>
      <c r="R1187">
        <v>0.8</v>
      </c>
      <c r="S1187">
        <v>1.8</v>
      </c>
      <c r="T1187">
        <v>25</v>
      </c>
      <c r="U1187">
        <v>48</v>
      </c>
      <c r="V1187">
        <v>2275</v>
      </c>
      <c r="W1187">
        <v>20</v>
      </c>
      <c r="X1187" t="s">
        <v>529</v>
      </c>
    </row>
    <row r="1188" spans="1:24">
      <c r="A1188" t="str">
        <f>Hyperlink("https://www.diodes.com/part/view/DMP4026SFVW","DMP4026SFVW")</f>
        <v>DMP4026SFVW</v>
      </c>
      <c r="B1188" t="str">
        <f>Hyperlink("https://www.diodes.com/assets/Datasheets/DMP4026SFVW.pdf","DMP4026SFVW Datasheet")</f>
        <v>DMP4026SFVW Datasheet</v>
      </c>
      <c r="C1188" t="s">
        <v>851</v>
      </c>
      <c r="D1188" t="s">
        <v>28</v>
      </c>
      <c r="E1188" t="s">
        <v>26</v>
      </c>
      <c r="F1188" t="s">
        <v>52</v>
      </c>
      <c r="G1188" t="s">
        <v>28</v>
      </c>
      <c r="H1188">
        <v>40</v>
      </c>
      <c r="I1188">
        <v>20</v>
      </c>
      <c r="J1188">
        <v>8.9</v>
      </c>
      <c r="K1188">
        <v>49</v>
      </c>
      <c r="L1188">
        <v>3.3</v>
      </c>
      <c r="N1188">
        <v>25</v>
      </c>
      <c r="O1188">
        <v>45</v>
      </c>
      <c r="R1188">
        <v>0.8</v>
      </c>
      <c r="S1188">
        <v>1.8</v>
      </c>
      <c r="T1188">
        <v>23.5</v>
      </c>
      <c r="U1188">
        <v>45.8</v>
      </c>
      <c r="V1188">
        <v>2064</v>
      </c>
      <c r="W1188">
        <v>20</v>
      </c>
      <c r="X1188" t="s">
        <v>655</v>
      </c>
    </row>
    <row r="1189" spans="1:24">
      <c r="A1189" t="str">
        <f>Hyperlink("https://www.diodes.com/part/view/DMP4026SFVWQ","DMP4026SFVWQ")</f>
        <v>DMP4026SFVWQ</v>
      </c>
      <c r="B1189" t="str">
        <f>Hyperlink("https://www.diodes.com/assets/Datasheets/DMP4026SFVWQ.pdf","DMP4026SFVWQ Datasheet")</f>
        <v>DMP4026SFVWQ Datasheet</v>
      </c>
      <c r="C1189" t="s">
        <v>851</v>
      </c>
      <c r="D1189" t="s">
        <v>25</v>
      </c>
      <c r="E1189" t="s">
        <v>33</v>
      </c>
      <c r="F1189" t="s">
        <v>52</v>
      </c>
      <c r="G1189" t="s">
        <v>28</v>
      </c>
      <c r="H1189">
        <v>40</v>
      </c>
      <c r="I1189">
        <v>20</v>
      </c>
      <c r="J1189">
        <v>8.9</v>
      </c>
      <c r="K1189">
        <v>49</v>
      </c>
      <c r="L1189">
        <v>3.3</v>
      </c>
      <c r="N1189">
        <v>25</v>
      </c>
      <c r="O1189">
        <v>45</v>
      </c>
      <c r="R1189">
        <v>0.8</v>
      </c>
      <c r="S1189">
        <v>1.8</v>
      </c>
      <c r="T1189">
        <v>23.5</v>
      </c>
      <c r="U1189">
        <v>45.8</v>
      </c>
      <c r="V1189">
        <v>2064</v>
      </c>
      <c r="W1189">
        <v>20</v>
      </c>
      <c r="X1189" t="s">
        <v>655</v>
      </c>
    </row>
    <row r="1190" spans="1:24">
      <c r="A1190" t="str">
        <f>Hyperlink("https://www.diodes.com/part/view/DMP4047LFDE","DMP4047LFDE")</f>
        <v>DMP4047LFDE</v>
      </c>
      <c r="B1190" t="str">
        <f>Hyperlink("https://www.diodes.com/assets/Datasheets/DMP4047LFDE.pdf","DMP4047LFDE Datasheet")</f>
        <v>DMP4047LFDE Datasheet</v>
      </c>
      <c r="C1190" t="s">
        <v>849</v>
      </c>
      <c r="D1190" t="s">
        <v>25</v>
      </c>
      <c r="E1190" t="s">
        <v>26</v>
      </c>
      <c r="F1190" t="s">
        <v>52</v>
      </c>
      <c r="G1190" t="s">
        <v>28</v>
      </c>
      <c r="H1190">
        <v>40</v>
      </c>
      <c r="I1190">
        <v>20</v>
      </c>
      <c r="J1190">
        <v>6</v>
      </c>
      <c r="L1190">
        <v>2.1</v>
      </c>
      <c r="N1190">
        <v>33</v>
      </c>
      <c r="O1190">
        <v>50</v>
      </c>
      <c r="S1190">
        <v>2.2</v>
      </c>
      <c r="T1190">
        <v>11.2</v>
      </c>
      <c r="U1190">
        <v>23.2</v>
      </c>
      <c r="V1190">
        <v>1382</v>
      </c>
      <c r="X1190" t="s">
        <v>567</v>
      </c>
    </row>
    <row r="1191" spans="1:24">
      <c r="A1191" t="str">
        <f>Hyperlink("https://www.diodes.com/part/view/DMP4047LFDEQ","DMP4047LFDEQ")</f>
        <v>DMP4047LFDEQ</v>
      </c>
      <c r="B1191" t="str">
        <f>Hyperlink("https://www.diodes.com/assets/Datasheets/DMP4047LFDEQ.pdf","DMP4047LFDEQ Datasheet")</f>
        <v>DMP4047LFDEQ Datasheet</v>
      </c>
      <c r="C1191" t="s">
        <v>849</v>
      </c>
      <c r="D1191" t="s">
        <v>25</v>
      </c>
      <c r="E1191" t="s">
        <v>33</v>
      </c>
      <c r="F1191" t="s">
        <v>52</v>
      </c>
      <c r="G1191" t="s">
        <v>28</v>
      </c>
      <c r="H1191">
        <v>40</v>
      </c>
      <c r="I1191">
        <v>20</v>
      </c>
      <c r="J1191">
        <v>6.5</v>
      </c>
      <c r="L1191">
        <v>2.1</v>
      </c>
      <c r="N1191">
        <v>34</v>
      </c>
      <c r="O1191">
        <v>50</v>
      </c>
      <c r="R1191">
        <v>1</v>
      </c>
      <c r="S1191">
        <v>2.2</v>
      </c>
      <c r="T1191">
        <v>12.2</v>
      </c>
      <c r="U1191">
        <v>24.9</v>
      </c>
      <c r="V1191">
        <v>1265</v>
      </c>
      <c r="W1191">
        <v>20</v>
      </c>
      <c r="X1191" t="s">
        <v>567</v>
      </c>
    </row>
    <row r="1192" spans="1:24">
      <c r="A1192" t="str">
        <f>Hyperlink("https://www.diodes.com/part/view/DMP4047SK3","DMP4047SK3")</f>
        <v>DMP4047SK3</v>
      </c>
      <c r="B1192" t="str">
        <f>Hyperlink("https://www.diodes.com/assets/Datasheets/DMP4047SK3.pdf","DMP4047SK3 Datasheet")</f>
        <v>DMP4047SK3 Datasheet</v>
      </c>
      <c r="C1192" t="s">
        <v>849</v>
      </c>
      <c r="D1192" t="s">
        <v>28</v>
      </c>
      <c r="E1192" t="s">
        <v>26</v>
      </c>
      <c r="F1192" t="s">
        <v>52</v>
      </c>
      <c r="G1192" t="s">
        <v>28</v>
      </c>
      <c r="H1192">
        <v>40</v>
      </c>
      <c r="I1192">
        <v>20</v>
      </c>
      <c r="K1192">
        <v>20</v>
      </c>
      <c r="L1192">
        <v>2.7</v>
      </c>
      <c r="N1192">
        <v>45</v>
      </c>
      <c r="O1192">
        <v>55</v>
      </c>
      <c r="S1192">
        <v>3</v>
      </c>
      <c r="T1192">
        <v>11.2</v>
      </c>
      <c r="U1192">
        <v>23.2</v>
      </c>
      <c r="V1192">
        <v>1328</v>
      </c>
      <c r="W1192">
        <v>20</v>
      </c>
      <c r="X1192" t="s">
        <v>507</v>
      </c>
    </row>
    <row r="1193" spans="1:24">
      <c r="A1193" t="str">
        <f>Hyperlink("https://www.diodes.com/part/view/DMP4047SSD","DMP4047SSD")</f>
        <v>DMP4047SSD</v>
      </c>
      <c r="B1193" t="str">
        <f>Hyperlink("https://www.diodes.com/assets/Datasheets/DMP4047SSD.pdf","DMP4047SSD Datasheet")</f>
        <v>DMP4047SSD Datasheet</v>
      </c>
      <c r="C1193" t="s">
        <v>855</v>
      </c>
      <c r="D1193" t="s">
        <v>25</v>
      </c>
      <c r="E1193" t="s">
        <v>26</v>
      </c>
      <c r="F1193" t="s">
        <v>78</v>
      </c>
      <c r="G1193" t="s">
        <v>28</v>
      </c>
      <c r="H1193">
        <v>40</v>
      </c>
      <c r="I1193">
        <v>20</v>
      </c>
      <c r="J1193">
        <v>5.1</v>
      </c>
      <c r="L1193">
        <v>1.8</v>
      </c>
      <c r="N1193">
        <v>45</v>
      </c>
      <c r="O1193">
        <v>55</v>
      </c>
      <c r="S1193">
        <v>3</v>
      </c>
      <c r="T1193">
        <v>10.6</v>
      </c>
      <c r="U1193">
        <v>21.5</v>
      </c>
      <c r="V1193">
        <v>1154</v>
      </c>
      <c r="W1193">
        <v>20</v>
      </c>
      <c r="X1193" t="s">
        <v>155</v>
      </c>
    </row>
    <row r="1194" spans="1:24">
      <c r="A1194" t="str">
        <f>Hyperlink("https://www.diodes.com/part/view/DMP4047SSDQ","DMP4047SSDQ")</f>
        <v>DMP4047SSDQ</v>
      </c>
      <c r="B1194" t="str">
        <f>Hyperlink("https://www.diodes.com/assets/Datasheets/DMP4047SSD.pdf","DMP4047SSD Datasheet")</f>
        <v>DMP4047SSD Datasheet</v>
      </c>
      <c r="C1194" t="s">
        <v>855</v>
      </c>
      <c r="D1194" t="s">
        <v>25</v>
      </c>
      <c r="E1194" t="s">
        <v>33</v>
      </c>
      <c r="F1194" t="s">
        <v>78</v>
      </c>
      <c r="G1194" t="s">
        <v>28</v>
      </c>
      <c r="H1194">
        <v>40</v>
      </c>
      <c r="I1194">
        <v>20</v>
      </c>
      <c r="J1194">
        <v>5.1</v>
      </c>
      <c r="L1194">
        <v>1.8</v>
      </c>
      <c r="N1194">
        <v>45</v>
      </c>
      <c r="O1194">
        <v>55</v>
      </c>
      <c r="S1194">
        <v>3</v>
      </c>
      <c r="T1194">
        <v>10.6</v>
      </c>
      <c r="U1194">
        <v>21.5</v>
      </c>
      <c r="X1194" t="s">
        <v>155</v>
      </c>
    </row>
    <row r="1195" spans="1:24">
      <c r="A1195" t="str">
        <f>Hyperlink("https://www.diodes.com/part/view/DMP4050SSD","DMP4050SSD")</f>
        <v>DMP4050SSD</v>
      </c>
      <c r="B1195" t="str">
        <f>Hyperlink("https://www.diodes.com/assets/Datasheets/DMP4050SSD.pdf","DMP4050SSD Datasheet")</f>
        <v>DMP4050SSD Datasheet</v>
      </c>
      <c r="C1195" t="s">
        <v>855</v>
      </c>
      <c r="D1195" t="s">
        <v>25</v>
      </c>
      <c r="E1195" t="s">
        <v>26</v>
      </c>
      <c r="F1195" t="s">
        <v>78</v>
      </c>
      <c r="G1195" t="s">
        <v>28</v>
      </c>
      <c r="H1195">
        <v>40</v>
      </c>
      <c r="I1195">
        <v>20</v>
      </c>
      <c r="J1195">
        <v>5.2</v>
      </c>
      <c r="L1195">
        <v>2.1</v>
      </c>
      <c r="N1195">
        <v>50</v>
      </c>
      <c r="O1195">
        <v>79</v>
      </c>
      <c r="S1195">
        <v>3</v>
      </c>
      <c r="T1195">
        <v>6.9</v>
      </c>
      <c r="U1195">
        <v>13.9</v>
      </c>
      <c r="V1195">
        <v>674</v>
      </c>
      <c r="X1195" t="s">
        <v>155</v>
      </c>
    </row>
    <row r="1196" spans="1:24">
      <c r="A1196" t="str">
        <f>Hyperlink("https://www.diodes.com/part/view/DMP4050SSDQ","DMP4050SSDQ")</f>
        <v>DMP4050SSDQ</v>
      </c>
      <c r="B1196" t="str">
        <f>Hyperlink("https://www.diodes.com/assets/Datasheets/DMP4050SSD.pdf","DMP4050SSD Datasheet")</f>
        <v>DMP4050SSD Datasheet</v>
      </c>
      <c r="C1196" t="s">
        <v>855</v>
      </c>
      <c r="D1196" t="s">
        <v>25</v>
      </c>
      <c r="E1196" t="s">
        <v>33</v>
      </c>
      <c r="F1196" t="s">
        <v>78</v>
      </c>
      <c r="G1196" t="s">
        <v>28</v>
      </c>
      <c r="H1196">
        <v>40</v>
      </c>
      <c r="I1196">
        <v>20</v>
      </c>
      <c r="J1196">
        <v>5.2</v>
      </c>
      <c r="L1196">
        <v>2.1</v>
      </c>
      <c r="N1196">
        <v>50</v>
      </c>
      <c r="O1196">
        <v>79</v>
      </c>
      <c r="S1196">
        <v>3</v>
      </c>
      <c r="U1196">
        <v>13.9</v>
      </c>
      <c r="X1196" t="s">
        <v>155</v>
      </c>
    </row>
    <row r="1197" spans="1:24">
      <c r="A1197" t="str">
        <f>Hyperlink("https://www.diodes.com/part/view/DMP4050SSS","DMP4050SSS")</f>
        <v>DMP4050SSS</v>
      </c>
      <c r="B1197" t="str">
        <f>Hyperlink("https://www.diodes.com/assets/Datasheets/DMP4050SSS.pdf","DMP4050SSS Datasheet")</f>
        <v>DMP4050SSS Datasheet</v>
      </c>
      <c r="C1197" t="s">
        <v>849</v>
      </c>
      <c r="D1197" t="s">
        <v>25</v>
      </c>
      <c r="E1197" t="s">
        <v>26</v>
      </c>
      <c r="F1197" t="s">
        <v>52</v>
      </c>
      <c r="G1197" t="s">
        <v>28</v>
      </c>
      <c r="H1197">
        <v>40</v>
      </c>
      <c r="I1197">
        <v>20</v>
      </c>
      <c r="J1197">
        <v>4.4</v>
      </c>
      <c r="L1197">
        <v>1.56</v>
      </c>
      <c r="N1197">
        <v>50</v>
      </c>
      <c r="O1197">
        <v>79</v>
      </c>
      <c r="S1197">
        <v>3</v>
      </c>
      <c r="T1197">
        <v>6.9</v>
      </c>
      <c r="U1197">
        <v>13.9</v>
      </c>
      <c r="V1197">
        <v>674</v>
      </c>
      <c r="X1197" t="s">
        <v>155</v>
      </c>
    </row>
    <row r="1198" spans="1:24">
      <c r="A1198" t="str">
        <f>Hyperlink("https://www.diodes.com/part/view/DMP4051LK3","DMP4051LK3")</f>
        <v>DMP4051LK3</v>
      </c>
      <c r="B1198" t="str">
        <f>Hyperlink("https://www.diodes.com/assets/Datasheets/DMP4051LK3.pdf","DMP4051LK3 Datasheet")</f>
        <v>DMP4051LK3 Datasheet</v>
      </c>
      <c r="C1198" t="s">
        <v>51</v>
      </c>
      <c r="D1198" t="s">
        <v>25</v>
      </c>
      <c r="E1198" t="s">
        <v>26</v>
      </c>
      <c r="F1198" t="s">
        <v>52</v>
      </c>
      <c r="G1198" t="s">
        <v>28</v>
      </c>
      <c r="H1198">
        <v>40</v>
      </c>
      <c r="I1198">
        <v>20</v>
      </c>
      <c r="J1198">
        <v>7.2</v>
      </c>
      <c r="L1198">
        <v>4.18</v>
      </c>
      <c r="N1198">
        <v>51</v>
      </c>
      <c r="O1198">
        <v>85</v>
      </c>
      <c r="S1198">
        <v>3</v>
      </c>
      <c r="T1198">
        <v>7</v>
      </c>
      <c r="U1198">
        <v>14</v>
      </c>
      <c r="V1198">
        <v>674</v>
      </c>
      <c r="X1198" t="s">
        <v>507</v>
      </c>
    </row>
    <row r="1199" spans="1:24">
      <c r="A1199" t="str">
        <f>Hyperlink("https://www.diodes.com/part/view/DMP4065S","DMP4065S")</f>
        <v>DMP4065S</v>
      </c>
      <c r="B1199" t="str">
        <f>Hyperlink("https://www.diodes.com/assets/Datasheets/DMP4065S.pdf","DMP4065S Datasheet")</f>
        <v>DMP4065S Datasheet</v>
      </c>
      <c r="C1199" t="s">
        <v>849</v>
      </c>
      <c r="D1199" t="s">
        <v>25</v>
      </c>
      <c r="E1199" t="s">
        <v>26</v>
      </c>
      <c r="F1199" t="s">
        <v>52</v>
      </c>
      <c r="G1199" t="s">
        <v>28</v>
      </c>
      <c r="H1199">
        <v>40</v>
      </c>
      <c r="I1199">
        <v>20</v>
      </c>
      <c r="J1199">
        <v>3.4</v>
      </c>
      <c r="L1199">
        <v>1.4</v>
      </c>
      <c r="N1199">
        <v>80</v>
      </c>
      <c r="O1199">
        <v>100</v>
      </c>
      <c r="S1199">
        <v>3</v>
      </c>
      <c r="T1199">
        <v>6.1</v>
      </c>
      <c r="U1199">
        <v>12.2</v>
      </c>
      <c r="V1199">
        <v>587</v>
      </c>
      <c r="W1199">
        <v>20</v>
      </c>
      <c r="X1199" t="s">
        <v>30</v>
      </c>
    </row>
    <row r="1200" spans="1:24">
      <c r="A1200" t="str">
        <f>Hyperlink("https://www.diodes.com/part/view/DMP4065SK3","DMP4065SK3")</f>
        <v>DMP4065SK3</v>
      </c>
      <c r="B1200" t="str">
        <f>Hyperlink("https://www.diodes.com/assets/Datasheets/DMP4065SK3.pdf","DMP4065SK3 Datasheet")</f>
        <v>DMP4065SK3 Datasheet</v>
      </c>
      <c r="C1200" t="s">
        <v>51</v>
      </c>
      <c r="D1200" t="s">
        <v>28</v>
      </c>
      <c r="E1200" t="s">
        <v>26</v>
      </c>
      <c r="F1200" t="s">
        <v>52</v>
      </c>
      <c r="G1200" t="s">
        <v>28</v>
      </c>
      <c r="H1200">
        <v>40</v>
      </c>
      <c r="I1200">
        <v>20</v>
      </c>
      <c r="K1200">
        <v>15</v>
      </c>
      <c r="L1200">
        <v>3</v>
      </c>
      <c r="N1200">
        <v>70</v>
      </c>
      <c r="O1200">
        <v>104</v>
      </c>
      <c r="R1200">
        <v>1</v>
      </c>
      <c r="S1200">
        <v>3</v>
      </c>
      <c r="T1200">
        <v>6.1</v>
      </c>
      <c r="U1200">
        <v>12.2</v>
      </c>
      <c r="V1200">
        <v>650</v>
      </c>
      <c r="W1200">
        <v>20</v>
      </c>
      <c r="X1200" t="s">
        <v>856</v>
      </c>
    </row>
    <row r="1201" spans="1:24">
      <c r="A1201" t="str">
        <f>Hyperlink("https://www.diodes.com/part/view/DMP4065SQ","DMP4065SQ")</f>
        <v>DMP4065SQ</v>
      </c>
      <c r="B1201" t="str">
        <f>Hyperlink("https://www.diodes.com/assets/Datasheets/DMP4065SQ.pdf","DMP4065SQ Datasheet")</f>
        <v>DMP4065SQ Datasheet</v>
      </c>
      <c r="C1201" t="s">
        <v>849</v>
      </c>
      <c r="D1201" t="s">
        <v>25</v>
      </c>
      <c r="E1201" t="s">
        <v>33</v>
      </c>
      <c r="F1201" t="s">
        <v>52</v>
      </c>
      <c r="G1201" t="s">
        <v>28</v>
      </c>
      <c r="H1201">
        <v>40</v>
      </c>
      <c r="I1201">
        <v>20</v>
      </c>
      <c r="J1201">
        <v>3.4</v>
      </c>
      <c r="L1201">
        <v>1.4</v>
      </c>
      <c r="N1201">
        <v>80</v>
      </c>
      <c r="O1201">
        <v>100</v>
      </c>
      <c r="S1201">
        <v>3</v>
      </c>
      <c r="T1201">
        <v>6.1</v>
      </c>
      <c r="U1201">
        <v>12.2</v>
      </c>
      <c r="W1201">
        <v>20</v>
      </c>
      <c r="X1201" t="s">
        <v>32</v>
      </c>
    </row>
    <row r="1202" spans="1:24">
      <c r="A1202" t="str">
        <f>Hyperlink("https://www.diodes.com/part/view/DMP45H150DHE","DMP45H150DHE")</f>
        <v>DMP45H150DHE</v>
      </c>
      <c r="B1202" t="str">
        <f>Hyperlink("https://www.diodes.com/assets/Datasheets/DMP45H150DHE.pdf","DMP45H150DHE Datasheet")</f>
        <v>DMP45H150DHE Datasheet</v>
      </c>
      <c r="C1202" t="s">
        <v>857</v>
      </c>
      <c r="D1202" t="s">
        <v>28</v>
      </c>
      <c r="E1202" t="s">
        <v>26</v>
      </c>
      <c r="F1202" t="s">
        <v>52</v>
      </c>
      <c r="G1202" t="s">
        <v>28</v>
      </c>
      <c r="H1202">
        <v>450</v>
      </c>
      <c r="I1202">
        <v>30</v>
      </c>
      <c r="K1202">
        <v>0.25</v>
      </c>
      <c r="M1202">
        <v>13.9</v>
      </c>
      <c r="N1202">
        <v>150000</v>
      </c>
      <c r="S1202">
        <v>4</v>
      </c>
      <c r="U1202">
        <v>1.8</v>
      </c>
      <c r="V1202">
        <v>59.2</v>
      </c>
      <c r="W1202">
        <v>25</v>
      </c>
      <c r="X1202" t="s">
        <v>586</v>
      </c>
    </row>
    <row r="1203" spans="1:24">
      <c r="A1203" t="str">
        <f>Hyperlink("https://www.diodes.com/part/view/DMP45H21DHE","DMP45H21DHE")</f>
        <v>DMP45H21DHE</v>
      </c>
      <c r="B1203" t="str">
        <f>Hyperlink("https://www.diodes.com/assets/Datasheets/DMP45H21DHE.pdf","DMP45H21DHE Datasheet")</f>
        <v>DMP45H21DHE Datasheet</v>
      </c>
      <c r="C1203" t="s">
        <v>857</v>
      </c>
      <c r="D1203" t="s">
        <v>28</v>
      </c>
      <c r="E1203" t="s">
        <v>26</v>
      </c>
      <c r="F1203" t="s">
        <v>52</v>
      </c>
      <c r="G1203" t="s">
        <v>28</v>
      </c>
      <c r="H1203">
        <v>450</v>
      </c>
      <c r="I1203">
        <v>30</v>
      </c>
      <c r="K1203">
        <v>0.6</v>
      </c>
      <c r="M1203">
        <v>12.5</v>
      </c>
      <c r="N1203">
        <v>21000</v>
      </c>
      <c r="S1203">
        <v>5</v>
      </c>
      <c r="U1203">
        <v>4.2</v>
      </c>
      <c r="V1203">
        <v>1003</v>
      </c>
      <c r="W1203">
        <v>25</v>
      </c>
      <c r="X1203" t="s">
        <v>586</v>
      </c>
    </row>
    <row r="1204" spans="1:24">
      <c r="A1204" t="str">
        <f>Hyperlink("https://www.diodes.com/part/view/DMP45H4D9HJ3","DMP45H4D9HJ3")</f>
        <v>DMP45H4D9HJ3</v>
      </c>
      <c r="B1204" t="str">
        <f>Hyperlink("https://www.diodes.com/assets/Datasheets/DMP45H4D9HJ3.pdf","DMP45H4D9HJ3 Datasheet")</f>
        <v>DMP45H4D9HJ3 Datasheet</v>
      </c>
      <c r="C1204" t="s">
        <v>857</v>
      </c>
      <c r="D1204" t="s">
        <v>28</v>
      </c>
      <c r="E1204" t="s">
        <v>26</v>
      </c>
      <c r="F1204" t="s">
        <v>52</v>
      </c>
      <c r="G1204" t="s">
        <v>28</v>
      </c>
      <c r="H1204">
        <v>450</v>
      </c>
      <c r="I1204">
        <v>30</v>
      </c>
      <c r="K1204">
        <v>4.6</v>
      </c>
      <c r="M1204">
        <v>104</v>
      </c>
      <c r="N1204">
        <v>4900</v>
      </c>
      <c r="S1204">
        <v>5</v>
      </c>
      <c r="U1204">
        <v>13.7</v>
      </c>
      <c r="V1204">
        <v>547</v>
      </c>
      <c r="W1204">
        <v>25</v>
      </c>
      <c r="X1204" t="s">
        <v>858</v>
      </c>
    </row>
    <row r="1205" spans="1:24">
      <c r="A1205" t="str">
        <f>Hyperlink("https://www.diodes.com/part/view/DMP45H4D9HK3","DMP45H4D9HK3")</f>
        <v>DMP45H4D9HK3</v>
      </c>
      <c r="B1205" t="str">
        <f>Hyperlink("https://www.diodes.com/assets/Datasheets/DMP45H4D9HK3.pdf","DMP45H4D9HK3 Datasheet")</f>
        <v>DMP45H4D9HK3 Datasheet</v>
      </c>
      <c r="C1205" t="s">
        <v>857</v>
      </c>
      <c r="D1205" t="s">
        <v>28</v>
      </c>
      <c r="E1205" t="s">
        <v>26</v>
      </c>
      <c r="F1205" t="s">
        <v>52</v>
      </c>
      <c r="G1205" t="s">
        <v>28</v>
      </c>
      <c r="H1205">
        <v>450</v>
      </c>
      <c r="I1205">
        <v>30</v>
      </c>
      <c r="K1205">
        <v>4.7</v>
      </c>
      <c r="M1205">
        <v>104</v>
      </c>
      <c r="N1205">
        <v>4900</v>
      </c>
      <c r="S1205">
        <v>5</v>
      </c>
      <c r="U1205">
        <v>13.7</v>
      </c>
      <c r="V1205">
        <v>564</v>
      </c>
      <c r="W1205">
        <v>25</v>
      </c>
      <c r="X1205" t="s">
        <v>507</v>
      </c>
    </row>
    <row r="1206" spans="1:24">
      <c r="A1206" t="str">
        <f>Hyperlink("https://www.diodes.com/part/view/DMP510DL","DMP510DL")</f>
        <v>DMP510DL</v>
      </c>
      <c r="B1206" t="str">
        <f>Hyperlink("https://www.diodes.com/assets/Datasheets/DMP510DL.pdf","DMP510DL Datasheet")</f>
        <v>DMP510DL Datasheet</v>
      </c>
      <c r="C1206" t="s">
        <v>51</v>
      </c>
      <c r="D1206" t="s">
        <v>25</v>
      </c>
      <c r="E1206" t="s">
        <v>26</v>
      </c>
      <c r="F1206" t="s">
        <v>52</v>
      </c>
      <c r="G1206" t="s">
        <v>28</v>
      </c>
      <c r="H1206">
        <v>50</v>
      </c>
      <c r="I1206">
        <v>30</v>
      </c>
      <c r="J1206">
        <v>0.18</v>
      </c>
      <c r="L1206">
        <v>0.5</v>
      </c>
      <c r="O1206" t="s">
        <v>81</v>
      </c>
      <c r="S1206">
        <v>2</v>
      </c>
      <c r="V1206">
        <v>24.6</v>
      </c>
      <c r="W1206">
        <v>24.6</v>
      </c>
      <c r="X1206" t="s">
        <v>30</v>
      </c>
    </row>
    <row r="1207" spans="1:24">
      <c r="A1207" t="str">
        <f>Hyperlink("https://www.diodes.com/part/view/DMP510DLQ","DMP510DLQ")</f>
        <v>DMP510DLQ</v>
      </c>
      <c r="B1207" t="str">
        <f>Hyperlink("https://www.diodes.com/assets/Datasheets/DMP510DLQ.pdf","DMP510DLQ Datasheet")</f>
        <v>DMP510DLQ Datasheet</v>
      </c>
      <c r="C1207" t="s">
        <v>51</v>
      </c>
      <c r="D1207" t="s">
        <v>25</v>
      </c>
      <c r="E1207" t="s">
        <v>33</v>
      </c>
      <c r="F1207" t="s">
        <v>52</v>
      </c>
      <c r="G1207" t="s">
        <v>28</v>
      </c>
      <c r="H1207">
        <v>50</v>
      </c>
      <c r="I1207">
        <v>30</v>
      </c>
      <c r="J1207">
        <v>0.196</v>
      </c>
      <c r="L1207">
        <v>0.69</v>
      </c>
      <c r="O1207" t="s">
        <v>859</v>
      </c>
      <c r="S1207">
        <v>2</v>
      </c>
      <c r="T1207" t="s">
        <v>860</v>
      </c>
      <c r="V1207">
        <v>40</v>
      </c>
      <c r="W1207">
        <v>25</v>
      </c>
      <c r="X1207" t="s">
        <v>32</v>
      </c>
    </row>
    <row r="1208" spans="1:24">
      <c r="A1208" t="str">
        <f>Hyperlink("https://www.diodes.com/part/view/DMP510DLW","DMP510DLW")</f>
        <v>DMP510DLW</v>
      </c>
      <c r="B1208" t="str">
        <f>Hyperlink("https://www.diodes.com/assets/Datasheets/DMP510DLW.pdf","DMP510DLW Datasheet")</f>
        <v>DMP510DLW Datasheet</v>
      </c>
      <c r="C1208" t="s">
        <v>861</v>
      </c>
      <c r="D1208" t="s">
        <v>28</v>
      </c>
      <c r="E1208" t="s">
        <v>26</v>
      </c>
      <c r="F1208" t="s">
        <v>52</v>
      </c>
      <c r="G1208" t="s">
        <v>28</v>
      </c>
      <c r="H1208">
        <v>50</v>
      </c>
      <c r="I1208">
        <v>20</v>
      </c>
      <c r="J1208">
        <v>0.174</v>
      </c>
      <c r="L1208">
        <v>0.47</v>
      </c>
      <c r="O1208" t="s">
        <v>81</v>
      </c>
      <c r="S1208">
        <v>2</v>
      </c>
      <c r="T1208">
        <v>0.28</v>
      </c>
      <c r="U1208">
        <v>0.56</v>
      </c>
      <c r="V1208">
        <v>24.6</v>
      </c>
      <c r="W1208">
        <v>25</v>
      </c>
      <c r="X1208" t="s">
        <v>60</v>
      </c>
    </row>
    <row r="1209" spans="1:24">
      <c r="A1209" t="str">
        <f>Hyperlink("https://www.diodes.com/part/view/DMP56D0UFB","DMP56D0UFB")</f>
        <v>DMP56D0UFB</v>
      </c>
      <c r="B1209" t="str">
        <f>Hyperlink("https://www.diodes.com/assets/Datasheets/DMP56D0UFB.pdf","DMP56D0UFB Datasheet")</f>
        <v>DMP56D0UFB Datasheet</v>
      </c>
      <c r="C1209" t="s">
        <v>51</v>
      </c>
      <c r="D1209" t="s">
        <v>25</v>
      </c>
      <c r="E1209" t="s">
        <v>26</v>
      </c>
      <c r="F1209" t="s">
        <v>52</v>
      </c>
      <c r="G1209" t="s">
        <v>25</v>
      </c>
      <c r="H1209">
        <v>50</v>
      </c>
      <c r="I1209">
        <v>8</v>
      </c>
      <c r="J1209">
        <v>0.2</v>
      </c>
      <c r="L1209">
        <v>0.425</v>
      </c>
      <c r="O1209" t="s">
        <v>862</v>
      </c>
      <c r="P1209">
        <v>8000</v>
      </c>
      <c r="S1209">
        <v>1.2</v>
      </c>
      <c r="T1209">
        <v>0.58</v>
      </c>
      <c r="V1209">
        <v>50.54</v>
      </c>
      <c r="X1209" t="s">
        <v>592</v>
      </c>
    </row>
    <row r="1210" spans="1:24">
      <c r="A1210" t="str">
        <f>Hyperlink("https://www.diodes.com/part/view/DMP56D0UV","DMP56D0UV")</f>
        <v>DMP56D0UV</v>
      </c>
      <c r="B1210" t="str">
        <f>Hyperlink("https://www.diodes.com/assets/Datasheets/DMP56D0UV.pdf","DMP56D0UV Datasheet")</f>
        <v>DMP56D0UV Datasheet</v>
      </c>
      <c r="C1210" t="s">
        <v>77</v>
      </c>
      <c r="D1210" t="s">
        <v>25</v>
      </c>
      <c r="E1210" t="s">
        <v>26</v>
      </c>
      <c r="F1210" t="s">
        <v>78</v>
      </c>
      <c r="G1210" t="s">
        <v>25</v>
      </c>
      <c r="H1210">
        <v>50</v>
      </c>
      <c r="I1210">
        <v>8</v>
      </c>
      <c r="J1210">
        <v>0.16</v>
      </c>
      <c r="L1210">
        <v>0.4</v>
      </c>
      <c r="O1210" t="s">
        <v>862</v>
      </c>
      <c r="P1210">
        <v>8000</v>
      </c>
      <c r="S1210">
        <v>1.2</v>
      </c>
      <c r="T1210">
        <v>0.58</v>
      </c>
      <c r="V1210">
        <v>50.54</v>
      </c>
      <c r="W1210">
        <v>25</v>
      </c>
      <c r="X1210" t="s">
        <v>43</v>
      </c>
    </row>
    <row r="1211" spans="1:24">
      <c r="A1211" t="str">
        <f>Hyperlink("https://www.diodes.com/part/view/DMP58D1LV","DMP58D1LV")</f>
        <v>DMP58D1LV</v>
      </c>
      <c r="B1211" t="str">
        <f>Hyperlink("https://www.diodes.com/assets/Datasheets/DMP58D1LV.pdf","DMP58D1LV Datasheet")</f>
        <v>DMP58D1LV Datasheet</v>
      </c>
      <c r="C1211" t="s">
        <v>816</v>
      </c>
      <c r="D1211" t="s">
        <v>28</v>
      </c>
      <c r="E1211" t="s">
        <v>26</v>
      </c>
      <c r="F1211" t="s">
        <v>78</v>
      </c>
      <c r="G1211" t="s">
        <v>28</v>
      </c>
      <c r="H1211">
        <v>50</v>
      </c>
      <c r="I1211">
        <v>20</v>
      </c>
      <c r="J1211" t="s">
        <v>863</v>
      </c>
      <c r="L1211">
        <v>0.78</v>
      </c>
      <c r="O1211" t="s">
        <v>864</v>
      </c>
      <c r="R1211">
        <v>0.8</v>
      </c>
      <c r="S1211" t="s">
        <v>865</v>
      </c>
      <c r="T1211" t="s">
        <v>866</v>
      </c>
      <c r="U1211">
        <v>1.2</v>
      </c>
      <c r="V1211">
        <v>37</v>
      </c>
      <c r="W1211">
        <v>25</v>
      </c>
      <c r="X1211" t="s">
        <v>43</v>
      </c>
    </row>
    <row r="1212" spans="1:24">
      <c r="A1212" t="str">
        <f>Hyperlink("https://www.diodes.com/part/view/DMP58D1LVQ","DMP58D1LVQ")</f>
        <v>DMP58D1LVQ</v>
      </c>
      <c r="B1212" t="str">
        <f>Hyperlink("https://www.diodes.com/assets/Datasheets/DMP58D1LVQ.pdf","DMP58D1LVQ Datasheet")</f>
        <v>DMP58D1LVQ Datasheet</v>
      </c>
      <c r="C1212" t="s">
        <v>816</v>
      </c>
      <c r="D1212" t="s">
        <v>25</v>
      </c>
      <c r="E1212" t="s">
        <v>33</v>
      </c>
      <c r="F1212" t="s">
        <v>78</v>
      </c>
      <c r="G1212" t="s">
        <v>28</v>
      </c>
      <c r="H1212">
        <v>50</v>
      </c>
      <c r="I1212">
        <v>20</v>
      </c>
      <c r="J1212" t="s">
        <v>867</v>
      </c>
      <c r="L1212">
        <v>0.78</v>
      </c>
      <c r="O1212" t="s">
        <v>868</v>
      </c>
      <c r="R1212">
        <v>0.8</v>
      </c>
      <c r="S1212">
        <v>2</v>
      </c>
      <c r="T1212" t="s">
        <v>869</v>
      </c>
      <c r="U1212">
        <v>1.2</v>
      </c>
      <c r="V1212">
        <v>37</v>
      </c>
      <c r="W1212">
        <v>25</v>
      </c>
      <c r="X1212" t="s">
        <v>43</v>
      </c>
    </row>
    <row r="1213" spans="1:24">
      <c r="A1213" t="str">
        <f>Hyperlink("https://www.diodes.com/part/view/DMP6018LPS","DMP6018LPS")</f>
        <v>DMP6018LPS</v>
      </c>
      <c r="B1213" t="str">
        <f>Hyperlink("https://www.diodes.com/assets/Datasheets/DMP6018LPS.pdf","DMP6018LPS Datasheet")</f>
        <v>DMP6018LPS Datasheet</v>
      </c>
      <c r="C1213" t="s">
        <v>870</v>
      </c>
      <c r="D1213" t="s">
        <v>28</v>
      </c>
      <c r="E1213" t="s">
        <v>26</v>
      </c>
      <c r="F1213" t="s">
        <v>52</v>
      </c>
      <c r="G1213" t="s">
        <v>28</v>
      </c>
      <c r="H1213">
        <v>60</v>
      </c>
      <c r="I1213">
        <v>20</v>
      </c>
      <c r="K1213">
        <v>60</v>
      </c>
      <c r="L1213">
        <v>2.6</v>
      </c>
      <c r="N1213">
        <v>18</v>
      </c>
      <c r="O1213">
        <v>26</v>
      </c>
      <c r="S1213">
        <v>2.5</v>
      </c>
      <c r="T1213">
        <v>7.1</v>
      </c>
      <c r="U1213">
        <v>13.7</v>
      </c>
      <c r="V1213">
        <v>3505</v>
      </c>
      <c r="W1213">
        <v>30</v>
      </c>
      <c r="X1213" t="s">
        <v>617</v>
      </c>
    </row>
    <row r="1214" spans="1:24">
      <c r="A1214" t="str">
        <f>Hyperlink("https://www.diodes.com/part/view/DMP6018LPSQ","DMP6018LPSQ")</f>
        <v>DMP6018LPSQ</v>
      </c>
      <c r="B1214" t="str">
        <f>Hyperlink("https://www.diodes.com/assets/Datasheets/DMP6018LPSQ.pdf","DMP6018LPSQ Datasheet")</f>
        <v>DMP6018LPSQ Datasheet</v>
      </c>
      <c r="C1214" t="s">
        <v>870</v>
      </c>
      <c r="D1214" t="s">
        <v>25</v>
      </c>
      <c r="E1214" t="s">
        <v>33</v>
      </c>
      <c r="F1214" t="s">
        <v>52</v>
      </c>
      <c r="G1214" t="s">
        <v>28</v>
      </c>
      <c r="H1214">
        <v>60</v>
      </c>
      <c r="I1214">
        <v>20</v>
      </c>
      <c r="K1214">
        <v>60</v>
      </c>
      <c r="L1214">
        <v>2.6</v>
      </c>
      <c r="M1214">
        <v>113</v>
      </c>
      <c r="N1214">
        <v>18</v>
      </c>
      <c r="O1214">
        <v>26</v>
      </c>
      <c r="S1214">
        <v>2.5</v>
      </c>
      <c r="V1214">
        <v>3505</v>
      </c>
      <c r="W1214">
        <v>30</v>
      </c>
      <c r="X1214" t="s">
        <v>617</v>
      </c>
    </row>
    <row r="1215" spans="1:24">
      <c r="A1215" t="str">
        <f>Hyperlink("https://www.diodes.com/part/view/DMP6023LE","DMP6023LE")</f>
        <v>DMP6023LE</v>
      </c>
      <c r="B1215" t="str">
        <f>Hyperlink("https://www.diodes.com/assets/Datasheets/DMP6023LE.pdf","DMP6023LE Datasheet")</f>
        <v>DMP6023LE Datasheet</v>
      </c>
      <c r="C1215" t="s">
        <v>51</v>
      </c>
      <c r="D1215" t="s">
        <v>25</v>
      </c>
      <c r="E1215" t="s">
        <v>26</v>
      </c>
      <c r="F1215" t="s">
        <v>52</v>
      </c>
      <c r="G1215" t="s">
        <v>28</v>
      </c>
      <c r="H1215">
        <v>60</v>
      </c>
      <c r="I1215">
        <v>20</v>
      </c>
      <c r="J1215">
        <v>7</v>
      </c>
      <c r="L1215">
        <v>2</v>
      </c>
      <c r="N1215">
        <v>28</v>
      </c>
      <c r="O1215">
        <v>35</v>
      </c>
      <c r="S1215">
        <v>3</v>
      </c>
      <c r="T1215">
        <v>26.5</v>
      </c>
      <c r="U1215">
        <v>53.1</v>
      </c>
      <c r="V1215">
        <v>2569</v>
      </c>
      <c r="W1215">
        <v>30</v>
      </c>
      <c r="X1215" t="s">
        <v>586</v>
      </c>
    </row>
    <row r="1216" spans="1:24">
      <c r="A1216" t="str">
        <f>Hyperlink("https://www.diodes.com/part/view/DMP6023LEQ","DMP6023LEQ")</f>
        <v>DMP6023LEQ</v>
      </c>
      <c r="B1216" t="str">
        <f>Hyperlink("https://www.diodes.com/assets/Datasheets/DMP6023LEQ.pdf","DMP6023LEQ Datasheet")</f>
        <v>DMP6023LEQ Datasheet</v>
      </c>
      <c r="C1216" t="s">
        <v>870</v>
      </c>
      <c r="D1216" t="s">
        <v>25</v>
      </c>
      <c r="E1216" t="s">
        <v>33</v>
      </c>
      <c r="F1216" t="s">
        <v>52</v>
      </c>
      <c r="G1216" t="s">
        <v>28</v>
      </c>
      <c r="H1216">
        <v>60</v>
      </c>
      <c r="I1216">
        <v>20</v>
      </c>
      <c r="J1216">
        <v>7</v>
      </c>
      <c r="L1216">
        <v>2</v>
      </c>
      <c r="N1216">
        <v>28</v>
      </c>
      <c r="O1216">
        <v>35</v>
      </c>
      <c r="S1216">
        <v>3</v>
      </c>
      <c r="T1216">
        <v>26.5</v>
      </c>
      <c r="U1216">
        <v>53.1</v>
      </c>
      <c r="W1216">
        <v>30</v>
      </c>
      <c r="X1216" t="s">
        <v>586</v>
      </c>
    </row>
    <row r="1217" spans="1:24">
      <c r="A1217" t="str">
        <f>Hyperlink("https://www.diodes.com/part/view/DMP6023LFG","DMP6023LFG")</f>
        <v>DMP6023LFG</v>
      </c>
      <c r="B1217" t="str">
        <f>Hyperlink("https://www.diodes.com/assets/Datasheets/DMP6023LFG.pdf","DMP6023LFG Datasheet")</f>
        <v>DMP6023LFG Datasheet</v>
      </c>
      <c r="C1217" t="s">
        <v>870</v>
      </c>
      <c r="D1217" t="s">
        <v>25</v>
      </c>
      <c r="E1217" t="s">
        <v>26</v>
      </c>
      <c r="F1217" t="s">
        <v>52</v>
      </c>
      <c r="G1217" t="s">
        <v>28</v>
      </c>
      <c r="H1217">
        <v>60</v>
      </c>
      <c r="I1217">
        <v>20</v>
      </c>
      <c r="J1217">
        <v>7.7</v>
      </c>
      <c r="L1217">
        <v>2.1</v>
      </c>
      <c r="N1217">
        <v>25</v>
      </c>
      <c r="O1217">
        <v>33</v>
      </c>
      <c r="S1217">
        <v>3</v>
      </c>
      <c r="T1217">
        <v>26.5</v>
      </c>
      <c r="U1217">
        <v>53.1</v>
      </c>
      <c r="V1217">
        <v>2569</v>
      </c>
      <c r="W1217">
        <v>30</v>
      </c>
      <c r="X1217" t="s">
        <v>529</v>
      </c>
    </row>
    <row r="1218" spans="1:24">
      <c r="A1218" t="str">
        <f>Hyperlink("https://www.diodes.com/part/view/DMP6023LFGQ","DMP6023LFGQ")</f>
        <v>DMP6023LFGQ</v>
      </c>
      <c r="B1218" t="str">
        <f>Hyperlink("https://www.diodes.com/assets/Datasheets/DMP6023LFGQ.pdf","DMP6023LFGQ Datasheet")</f>
        <v>DMP6023LFGQ Datasheet</v>
      </c>
      <c r="C1218" t="s">
        <v>870</v>
      </c>
      <c r="D1218" t="s">
        <v>25</v>
      </c>
      <c r="E1218" t="s">
        <v>33</v>
      </c>
      <c r="F1218" t="s">
        <v>52</v>
      </c>
      <c r="G1218" t="s">
        <v>28</v>
      </c>
      <c r="H1218">
        <v>60</v>
      </c>
      <c r="I1218">
        <v>20</v>
      </c>
      <c r="J1218">
        <v>7.7</v>
      </c>
      <c r="L1218">
        <v>2.1</v>
      </c>
      <c r="N1218">
        <v>25</v>
      </c>
      <c r="O1218">
        <v>33</v>
      </c>
      <c r="S1218">
        <v>3</v>
      </c>
      <c r="T1218">
        <v>26.5</v>
      </c>
      <c r="U1218">
        <v>53.1</v>
      </c>
      <c r="W1218">
        <v>30</v>
      </c>
      <c r="X1218" t="s">
        <v>529</v>
      </c>
    </row>
    <row r="1219" spans="1:24">
      <c r="A1219" t="str">
        <f>Hyperlink("https://www.diodes.com/part/view/DMP6023LSS","DMP6023LSS")</f>
        <v>DMP6023LSS</v>
      </c>
      <c r="B1219" t="str">
        <f>Hyperlink("https://www.diodes.com/assets/Datasheets/DMP6023LSS.pdf","DMP6023LSS Datasheet")</f>
        <v>DMP6023LSS Datasheet</v>
      </c>
      <c r="C1219" t="s">
        <v>51</v>
      </c>
      <c r="D1219" t="s">
        <v>25</v>
      </c>
      <c r="E1219" t="s">
        <v>26</v>
      </c>
      <c r="F1219" t="s">
        <v>52</v>
      </c>
      <c r="G1219" t="s">
        <v>28</v>
      </c>
      <c r="H1219">
        <v>60</v>
      </c>
      <c r="I1219">
        <v>20</v>
      </c>
      <c r="J1219">
        <v>6.6</v>
      </c>
      <c r="L1219">
        <v>1.6</v>
      </c>
      <c r="N1219">
        <v>25</v>
      </c>
      <c r="O1219">
        <v>33</v>
      </c>
      <c r="S1219">
        <v>3</v>
      </c>
      <c r="T1219">
        <v>26.5</v>
      </c>
      <c r="U1219">
        <v>53.1</v>
      </c>
      <c r="V1219">
        <v>2569</v>
      </c>
      <c r="W1219">
        <v>30</v>
      </c>
      <c r="X1219" t="s">
        <v>155</v>
      </c>
    </row>
    <row r="1220" spans="1:24">
      <c r="A1220" t="str">
        <f>Hyperlink("https://www.diodes.com/part/view/DMP6050SFG","DMP6050SFG")</f>
        <v>DMP6050SFG</v>
      </c>
      <c r="B1220" t="str">
        <f>Hyperlink("https://www.diodes.com/assets/Datasheets/DMP6050SFG.pdf","DMP6050SFG Datasheet")</f>
        <v>DMP6050SFG Datasheet</v>
      </c>
      <c r="C1220" t="s">
        <v>870</v>
      </c>
      <c r="D1220" t="s">
        <v>28</v>
      </c>
      <c r="E1220" t="s">
        <v>26</v>
      </c>
      <c r="F1220" t="s">
        <v>52</v>
      </c>
      <c r="G1220" t="s">
        <v>28</v>
      </c>
      <c r="H1220">
        <v>60</v>
      </c>
      <c r="I1220">
        <v>20</v>
      </c>
      <c r="J1220">
        <v>4.8</v>
      </c>
      <c r="L1220">
        <v>1.8</v>
      </c>
      <c r="N1220">
        <v>50</v>
      </c>
      <c r="O1220">
        <v>70</v>
      </c>
      <c r="S1220">
        <v>3</v>
      </c>
      <c r="T1220">
        <v>11.9</v>
      </c>
      <c r="U1220">
        <v>24</v>
      </c>
      <c r="V1220">
        <v>1293</v>
      </c>
      <c r="W1220">
        <v>30</v>
      </c>
      <c r="X1220" t="s">
        <v>529</v>
      </c>
    </row>
    <row r="1221" spans="1:24">
      <c r="A1221" t="str">
        <f>Hyperlink("https://www.diodes.com/part/view/DMP6050SPS","DMP6050SPS")</f>
        <v>DMP6050SPS</v>
      </c>
      <c r="B1221" t="str">
        <f>Hyperlink("https://www.diodes.com/assets/Datasheets/DMP6050SPS.pdf","DMP6050SPS Datasheet")</f>
        <v>DMP6050SPS Datasheet</v>
      </c>
      <c r="C1221" t="s">
        <v>870</v>
      </c>
      <c r="D1221" t="s">
        <v>28</v>
      </c>
      <c r="E1221" t="s">
        <v>26</v>
      </c>
      <c r="F1221" t="s">
        <v>52</v>
      </c>
      <c r="G1221" t="s">
        <v>28</v>
      </c>
      <c r="H1221">
        <v>60</v>
      </c>
      <c r="I1221">
        <v>20</v>
      </c>
      <c r="J1221">
        <v>5.7</v>
      </c>
      <c r="L1221">
        <v>2.4</v>
      </c>
      <c r="N1221">
        <v>50</v>
      </c>
      <c r="O1221">
        <v>70</v>
      </c>
      <c r="S1221">
        <v>3</v>
      </c>
      <c r="T1221">
        <v>14</v>
      </c>
      <c r="U1221">
        <v>30</v>
      </c>
      <c r="V1221">
        <v>2163</v>
      </c>
      <c r="W1221">
        <v>30</v>
      </c>
      <c r="X1221" t="s">
        <v>848</v>
      </c>
    </row>
    <row r="1222" spans="1:24">
      <c r="A1222" t="str">
        <f>Hyperlink("https://www.diodes.com/part/view/DMP6050SSD","DMP6050SSD")</f>
        <v>DMP6050SSD</v>
      </c>
      <c r="B1222" t="str">
        <f>Hyperlink("https://www.diodes.com/assets/Datasheets/DMP6050SSD.pdf","DMP6050SSD Datasheet")</f>
        <v>DMP6050SSD Datasheet</v>
      </c>
      <c r="C1222" t="s">
        <v>77</v>
      </c>
      <c r="D1222" t="s">
        <v>25</v>
      </c>
      <c r="E1222" t="s">
        <v>26</v>
      </c>
      <c r="F1222" t="s">
        <v>78</v>
      </c>
      <c r="G1222" t="s">
        <v>28</v>
      </c>
      <c r="H1222">
        <v>60</v>
      </c>
      <c r="I1222">
        <v>20</v>
      </c>
      <c r="J1222">
        <v>4.8</v>
      </c>
      <c r="L1222">
        <v>1.7</v>
      </c>
      <c r="N1222">
        <v>55</v>
      </c>
      <c r="O1222">
        <v>70</v>
      </c>
      <c r="S1222">
        <v>3</v>
      </c>
      <c r="T1222">
        <v>11.9</v>
      </c>
      <c r="U1222">
        <v>24</v>
      </c>
      <c r="V1222">
        <v>1293</v>
      </c>
      <c r="W1222">
        <v>30</v>
      </c>
      <c r="X1222" t="s">
        <v>155</v>
      </c>
    </row>
    <row r="1223" spans="1:24">
      <c r="A1223" t="str">
        <f>Hyperlink("https://www.diodes.com/part/view/DMP610DL","DMP610DL")</f>
        <v>DMP610DL</v>
      </c>
      <c r="B1223" t="str">
        <f>Hyperlink("https://www.diodes.com/assets/Datasheets/DMP610DL.pdf","DMP610DL Datasheet")</f>
        <v>DMP610DL Datasheet</v>
      </c>
      <c r="C1223" t="s">
        <v>51</v>
      </c>
      <c r="D1223" t="s">
        <v>28</v>
      </c>
      <c r="E1223" t="s">
        <v>26</v>
      </c>
      <c r="F1223" t="s">
        <v>52</v>
      </c>
      <c r="G1223" t="s">
        <v>28</v>
      </c>
      <c r="H1223">
        <v>60</v>
      </c>
      <c r="I1223">
        <v>30</v>
      </c>
      <c r="J1223">
        <v>0.18</v>
      </c>
      <c r="L1223">
        <v>0.5</v>
      </c>
      <c r="O1223" t="s">
        <v>81</v>
      </c>
      <c r="S1223">
        <v>2</v>
      </c>
      <c r="T1223">
        <v>0.28</v>
      </c>
      <c r="U1223">
        <v>0.56</v>
      </c>
      <c r="V1223">
        <v>24.6</v>
      </c>
      <c r="W1223">
        <v>24.6</v>
      </c>
      <c r="X1223" t="s">
        <v>32</v>
      </c>
    </row>
    <row r="1224" spans="1:24">
      <c r="A1224" t="str">
        <f>Hyperlink("https://www.diodes.com/part/view/DMP610DLQ","DMP610DLQ")</f>
        <v>DMP610DLQ</v>
      </c>
      <c r="B1224" t="str">
        <f>Hyperlink("https://www.diodes.com/assets/Datasheets/DMP610DLQ.pdf","DMP610DLQ Datasheet")</f>
        <v>DMP610DLQ Datasheet</v>
      </c>
      <c r="C1224" t="s">
        <v>51</v>
      </c>
      <c r="D1224" t="s">
        <v>25</v>
      </c>
      <c r="E1224" t="s">
        <v>33</v>
      </c>
      <c r="F1224" t="s">
        <v>52</v>
      </c>
      <c r="G1224" t="s">
        <v>28</v>
      </c>
      <c r="H1224">
        <v>60</v>
      </c>
      <c r="I1224">
        <v>30</v>
      </c>
      <c r="J1224">
        <v>0.186</v>
      </c>
      <c r="L1224">
        <v>0.69</v>
      </c>
      <c r="O1224" t="s">
        <v>871</v>
      </c>
      <c r="S1224">
        <v>2</v>
      </c>
      <c r="T1224" t="s">
        <v>860</v>
      </c>
      <c r="V1224">
        <v>40</v>
      </c>
      <c r="W1224">
        <v>25</v>
      </c>
      <c r="X1224" t="s">
        <v>32</v>
      </c>
    </row>
    <row r="1225" spans="1:24">
      <c r="A1225" t="str">
        <f>Hyperlink("https://www.diodes.com/part/view/DMP6110SFDF","DMP6110SFDF")</f>
        <v>DMP6110SFDF</v>
      </c>
      <c r="B1225" t="str">
        <f>Hyperlink("https://www.diodes.com/assets/Datasheets/DMP6110SFDF.pdf","DMP6110SFDF Datasheet")</f>
        <v>DMP6110SFDF Datasheet</v>
      </c>
      <c r="C1225" t="s">
        <v>872</v>
      </c>
      <c r="D1225" t="s">
        <v>25</v>
      </c>
      <c r="E1225" t="s">
        <v>26</v>
      </c>
      <c r="F1225" t="s">
        <v>52</v>
      </c>
      <c r="G1225" t="s">
        <v>28</v>
      </c>
      <c r="H1225">
        <v>60</v>
      </c>
      <c r="I1225">
        <v>20</v>
      </c>
      <c r="J1225">
        <v>3.5</v>
      </c>
      <c r="L1225">
        <v>1.97</v>
      </c>
      <c r="N1225">
        <v>110</v>
      </c>
      <c r="O1225">
        <v>130</v>
      </c>
      <c r="S1225">
        <v>3</v>
      </c>
      <c r="T1225">
        <v>8.2</v>
      </c>
      <c r="U1225">
        <v>17.2</v>
      </c>
      <c r="V1225">
        <v>969</v>
      </c>
      <c r="W1225">
        <v>30</v>
      </c>
      <c r="X1225" t="s">
        <v>568</v>
      </c>
    </row>
    <row r="1226" spans="1:24">
      <c r="A1226" t="str">
        <f>Hyperlink("https://www.diodes.com/part/view/DMP6110SFDFQ","DMP6110SFDFQ")</f>
        <v>DMP6110SFDFQ</v>
      </c>
      <c r="B1226" t="str">
        <f>Hyperlink("https://www.diodes.com/assets/Datasheets/DMP6110SFDFQ.pdf","DMP6110SFDFQ Datasheet")</f>
        <v>DMP6110SFDFQ Datasheet</v>
      </c>
      <c r="C1226" t="s">
        <v>51</v>
      </c>
      <c r="D1226" t="s">
        <v>25</v>
      </c>
      <c r="E1226" t="s">
        <v>33</v>
      </c>
      <c r="F1226" t="s">
        <v>52</v>
      </c>
      <c r="G1226" t="s">
        <v>28</v>
      </c>
      <c r="H1226">
        <v>60</v>
      </c>
      <c r="I1226">
        <v>20</v>
      </c>
      <c r="J1226">
        <v>3.5</v>
      </c>
      <c r="L1226">
        <v>1.97</v>
      </c>
      <c r="N1226">
        <v>110</v>
      </c>
      <c r="O1226">
        <v>130</v>
      </c>
      <c r="S1226">
        <v>3</v>
      </c>
      <c r="T1226">
        <v>8.2</v>
      </c>
      <c r="U1226">
        <v>17.2</v>
      </c>
      <c r="W1226">
        <v>30</v>
      </c>
      <c r="X1226" t="s">
        <v>568</v>
      </c>
    </row>
    <row r="1227" spans="1:24">
      <c r="A1227" t="str">
        <f>Hyperlink("https://www.diodes.com/part/view/DMP6110SSD","DMP6110SSD")</f>
        <v>DMP6110SSD</v>
      </c>
      <c r="B1227" t="str">
        <f>Hyperlink("https://www.diodes.com/assets/Datasheets/DMP6110SSD.pdf","DMP6110SSD Datasheet")</f>
        <v>DMP6110SSD Datasheet</v>
      </c>
      <c r="C1227" t="s">
        <v>77</v>
      </c>
      <c r="D1227" t="s">
        <v>25</v>
      </c>
      <c r="E1227" t="s">
        <v>26</v>
      </c>
      <c r="F1227" t="s">
        <v>78</v>
      </c>
      <c r="G1227" t="s">
        <v>28</v>
      </c>
      <c r="H1227">
        <v>60</v>
      </c>
      <c r="I1227">
        <v>20</v>
      </c>
      <c r="J1227">
        <v>3.3</v>
      </c>
      <c r="L1227">
        <v>1.7</v>
      </c>
      <c r="N1227">
        <v>105</v>
      </c>
      <c r="O1227">
        <v>130</v>
      </c>
      <c r="S1227">
        <v>3</v>
      </c>
      <c r="T1227">
        <v>8.2</v>
      </c>
      <c r="U1227">
        <v>17.2</v>
      </c>
      <c r="V1227">
        <v>969</v>
      </c>
      <c r="W1227">
        <v>30</v>
      </c>
      <c r="X1227" t="s">
        <v>155</v>
      </c>
    </row>
    <row r="1228" spans="1:24">
      <c r="A1228" t="str">
        <f>Hyperlink("https://www.diodes.com/part/view/DMP6110SSDQ","DMP6110SSDQ")</f>
        <v>DMP6110SSDQ</v>
      </c>
      <c r="B1228" t="str">
        <f>Hyperlink("https://www.diodes.com/assets/Datasheets/DMP6110SSDQ.pdf","DMP6110SSDQ Datasheet")</f>
        <v>DMP6110SSDQ Datasheet</v>
      </c>
      <c r="C1228" t="s">
        <v>77</v>
      </c>
      <c r="D1228" t="s">
        <v>25</v>
      </c>
      <c r="E1228" t="s">
        <v>33</v>
      </c>
      <c r="F1228" t="s">
        <v>78</v>
      </c>
      <c r="G1228" t="s">
        <v>28</v>
      </c>
      <c r="H1228">
        <v>60</v>
      </c>
      <c r="I1228">
        <v>20</v>
      </c>
      <c r="J1228">
        <v>3.3</v>
      </c>
      <c r="L1228">
        <v>1.7</v>
      </c>
      <c r="N1228">
        <v>105</v>
      </c>
      <c r="O1228">
        <v>130</v>
      </c>
      <c r="S1228">
        <v>3</v>
      </c>
      <c r="T1228">
        <v>8.2</v>
      </c>
      <c r="U1228">
        <v>17.2</v>
      </c>
      <c r="W1228">
        <v>30</v>
      </c>
      <c r="X1228" t="s">
        <v>155</v>
      </c>
    </row>
    <row r="1229" spans="1:24">
      <c r="A1229" t="str">
        <f>Hyperlink("https://www.diodes.com/part/view/DMP6110SSS","DMP6110SSS")</f>
        <v>DMP6110SSS</v>
      </c>
      <c r="B1229" t="str">
        <f>Hyperlink("https://www.diodes.com/assets/Datasheets/DMP6110SSS.pdf","DMP6110SSS Datasheet")</f>
        <v>DMP6110SSS Datasheet</v>
      </c>
      <c r="C1229" t="s">
        <v>51</v>
      </c>
      <c r="D1229" t="s">
        <v>25</v>
      </c>
      <c r="E1229" t="s">
        <v>26</v>
      </c>
      <c r="F1229" t="s">
        <v>52</v>
      </c>
      <c r="G1229" t="s">
        <v>28</v>
      </c>
      <c r="H1229">
        <v>60</v>
      </c>
      <c r="I1229">
        <v>20</v>
      </c>
      <c r="J1229">
        <v>4.5</v>
      </c>
      <c r="L1229">
        <v>2</v>
      </c>
      <c r="N1229">
        <v>110</v>
      </c>
      <c r="O1229">
        <v>130</v>
      </c>
      <c r="S1229">
        <v>3</v>
      </c>
      <c r="T1229">
        <v>9.5</v>
      </c>
      <c r="U1229">
        <v>19.4</v>
      </c>
      <c r="V1229">
        <v>1030</v>
      </c>
      <c r="X1229" t="s">
        <v>155</v>
      </c>
    </row>
    <row r="1230" spans="1:24">
      <c r="A1230" t="str">
        <f>Hyperlink("https://www.diodes.com/part/view/DMP6110SSSQ","DMP6110SSSQ")</f>
        <v>DMP6110SSSQ</v>
      </c>
      <c r="B1230" t="str">
        <f>Hyperlink("https://www.diodes.com/assets/Datasheets/DMP6110SSSQ.pdf","DMP6110SSSQ Datasheet")</f>
        <v>DMP6110SSSQ Datasheet</v>
      </c>
      <c r="C1230" t="s">
        <v>870</v>
      </c>
      <c r="D1230" t="s">
        <v>25</v>
      </c>
      <c r="E1230" t="s">
        <v>33</v>
      </c>
      <c r="F1230" t="s">
        <v>52</v>
      </c>
      <c r="G1230" t="s">
        <v>28</v>
      </c>
      <c r="H1230">
        <v>60</v>
      </c>
      <c r="I1230">
        <v>20</v>
      </c>
      <c r="J1230">
        <v>4.5</v>
      </c>
      <c r="L1230">
        <v>2</v>
      </c>
      <c r="N1230">
        <v>110</v>
      </c>
      <c r="O1230">
        <v>130</v>
      </c>
      <c r="S1230">
        <v>3</v>
      </c>
      <c r="T1230">
        <v>9.5</v>
      </c>
      <c r="U1230">
        <v>19.4</v>
      </c>
      <c r="W1230">
        <v>30</v>
      </c>
      <c r="X1230" t="s">
        <v>155</v>
      </c>
    </row>
    <row r="1231" spans="1:24">
      <c r="A1231" t="str">
        <f>Hyperlink("https://www.diodes.com/part/view/DMP6110SVT","DMP6110SVT")</f>
        <v>DMP6110SVT</v>
      </c>
      <c r="B1231" t="str">
        <f>Hyperlink("https://www.diodes.com/assets/Datasheets/DMP6110SVT.pdf","DMP6110SVT Datasheet")</f>
        <v>DMP6110SVT Datasheet</v>
      </c>
      <c r="C1231" t="s">
        <v>51</v>
      </c>
      <c r="D1231" t="s">
        <v>25</v>
      </c>
      <c r="E1231" t="s">
        <v>26</v>
      </c>
      <c r="F1231" t="s">
        <v>52</v>
      </c>
      <c r="G1231" t="s">
        <v>28</v>
      </c>
      <c r="H1231">
        <v>60</v>
      </c>
      <c r="I1231">
        <v>20</v>
      </c>
      <c r="J1231">
        <v>7.3</v>
      </c>
      <c r="L1231">
        <v>1.8</v>
      </c>
      <c r="N1231">
        <v>105</v>
      </c>
      <c r="O1231">
        <v>130</v>
      </c>
      <c r="S1231">
        <v>3</v>
      </c>
      <c r="T1231">
        <v>8.2</v>
      </c>
      <c r="U1231">
        <v>17.2</v>
      </c>
      <c r="V1231">
        <v>969</v>
      </c>
      <c r="W1231">
        <v>30</v>
      </c>
      <c r="X1231" t="s">
        <v>128</v>
      </c>
    </row>
    <row r="1232" spans="1:24">
      <c r="A1232" t="str">
        <f>Hyperlink("https://www.diodes.com/part/view/DMP6110SVTQ","DMP6110SVTQ")</f>
        <v>DMP6110SVTQ</v>
      </c>
      <c r="B1232" t="str">
        <f>Hyperlink("https://www.diodes.com/assets/Datasheets/DMP6110SVTQ.pdf","DMP6110SVTQ Datasheet")</f>
        <v>DMP6110SVTQ Datasheet</v>
      </c>
      <c r="C1232" t="s">
        <v>51</v>
      </c>
      <c r="D1232" t="s">
        <v>25</v>
      </c>
      <c r="E1232" t="s">
        <v>33</v>
      </c>
      <c r="F1232" t="s">
        <v>52</v>
      </c>
      <c r="G1232" t="s">
        <v>28</v>
      </c>
      <c r="H1232">
        <v>60</v>
      </c>
      <c r="I1232">
        <v>20</v>
      </c>
      <c r="J1232">
        <v>7.3</v>
      </c>
      <c r="L1232">
        <v>1.8</v>
      </c>
      <c r="N1232">
        <v>105</v>
      </c>
      <c r="O1232">
        <v>130</v>
      </c>
      <c r="S1232">
        <v>3</v>
      </c>
      <c r="T1232">
        <v>8.2</v>
      </c>
      <c r="U1232">
        <v>17.2</v>
      </c>
      <c r="W1232">
        <v>30</v>
      </c>
      <c r="X1232" t="s">
        <v>128</v>
      </c>
    </row>
    <row r="1233" spans="1:24">
      <c r="A1233" t="str">
        <f>Hyperlink("https://www.diodes.com/part/view/DMP6111SVT","DMP6111SVT")</f>
        <v>DMP6111SVT</v>
      </c>
      <c r="B1233" t="str">
        <f>Hyperlink("https://www.diodes.com/assets/Datasheets/DMP6111SVT.pdf","DMP6111SVT Datasheet")</f>
        <v>DMP6111SVT Datasheet</v>
      </c>
      <c r="C1233" t="s">
        <v>873</v>
      </c>
      <c r="D1233" t="s">
        <v>28</v>
      </c>
      <c r="E1233" t="s">
        <v>26</v>
      </c>
      <c r="F1233" t="s">
        <v>52</v>
      </c>
      <c r="G1233" t="s">
        <v>28</v>
      </c>
      <c r="H1233">
        <v>60</v>
      </c>
      <c r="I1233">
        <v>20</v>
      </c>
      <c r="J1233">
        <v>2.7</v>
      </c>
      <c r="L1233">
        <v>1.6</v>
      </c>
      <c r="O1233">
        <v>115</v>
      </c>
      <c r="P1233">
        <v>145</v>
      </c>
      <c r="R1233">
        <v>1</v>
      </c>
      <c r="S1233">
        <v>3</v>
      </c>
      <c r="T1233">
        <v>11.2</v>
      </c>
      <c r="U1233">
        <v>23.2</v>
      </c>
      <c r="V1233">
        <v>1283</v>
      </c>
      <c r="W1233">
        <v>30</v>
      </c>
      <c r="X1233" t="s">
        <v>128</v>
      </c>
    </row>
    <row r="1234" spans="1:24">
      <c r="A1234" t="str">
        <f>Hyperlink("https://www.diodes.com/part/view/DMP6111SVTQ","DMP6111SVTQ")</f>
        <v>DMP6111SVTQ</v>
      </c>
      <c r="B1234" t="str">
        <f>Hyperlink("https://www.diodes.com/assets/Datasheets/DMP6111SVTQ.pdf","DMP6111SVTQ Datasheet")</f>
        <v>DMP6111SVTQ Datasheet</v>
      </c>
      <c r="C1234" t="s">
        <v>873</v>
      </c>
      <c r="D1234" t="s">
        <v>25</v>
      </c>
      <c r="E1234" t="s">
        <v>33</v>
      </c>
      <c r="F1234" t="s">
        <v>52</v>
      </c>
      <c r="G1234" t="s">
        <v>28</v>
      </c>
      <c r="H1234">
        <v>60</v>
      </c>
      <c r="I1234">
        <v>20</v>
      </c>
      <c r="J1234">
        <v>2.7</v>
      </c>
      <c r="L1234">
        <v>1.6</v>
      </c>
      <c r="O1234">
        <v>115</v>
      </c>
      <c r="P1234">
        <v>145</v>
      </c>
      <c r="R1234">
        <v>1</v>
      </c>
      <c r="S1234">
        <v>3</v>
      </c>
      <c r="T1234">
        <v>11.2</v>
      </c>
      <c r="U1234">
        <v>23.2</v>
      </c>
      <c r="V1234">
        <v>1283</v>
      </c>
      <c r="W1234">
        <v>30</v>
      </c>
      <c r="X1234" t="s">
        <v>128</v>
      </c>
    </row>
    <row r="1235" spans="1:24">
      <c r="A1235" t="str">
        <f>Hyperlink("https://www.diodes.com/part/view/DMP6180SK3","DMP6180SK3")</f>
        <v>DMP6180SK3</v>
      </c>
      <c r="B1235" t="str">
        <f>Hyperlink("https://www.diodes.com/assets/Datasheets/DMP6180SK3.pdf","DMP6180SK3 Datasheet")</f>
        <v>DMP6180SK3 Datasheet</v>
      </c>
      <c r="C1235" t="s">
        <v>51</v>
      </c>
      <c r="D1235" t="s">
        <v>25</v>
      </c>
      <c r="E1235" t="s">
        <v>26</v>
      </c>
      <c r="F1235" t="s">
        <v>52</v>
      </c>
      <c r="G1235" t="s">
        <v>28</v>
      </c>
      <c r="H1235">
        <v>60</v>
      </c>
      <c r="I1235">
        <v>20</v>
      </c>
      <c r="K1235">
        <v>14</v>
      </c>
      <c r="L1235">
        <v>2.7</v>
      </c>
      <c r="N1235">
        <v>110</v>
      </c>
      <c r="O1235">
        <v>140</v>
      </c>
      <c r="S1235">
        <v>2.7</v>
      </c>
      <c r="T1235">
        <v>8.1</v>
      </c>
      <c r="U1235">
        <v>17.1</v>
      </c>
      <c r="V1235">
        <v>984.7</v>
      </c>
      <c r="W1235">
        <v>30</v>
      </c>
      <c r="X1235" t="s">
        <v>507</v>
      </c>
    </row>
    <row r="1236" spans="1:24">
      <c r="A1236" t="str">
        <f>Hyperlink("https://www.diodes.com/part/view/DMP6180SK3Q","DMP6180SK3Q")</f>
        <v>DMP6180SK3Q</v>
      </c>
      <c r="B1236" t="str">
        <f>Hyperlink("https://www.diodes.com/assets/Datasheets/DMP6180SK3Q.pdf","DMP6180SK3Q Datasheet")</f>
        <v>DMP6180SK3Q Datasheet</v>
      </c>
      <c r="C1236" t="s">
        <v>51</v>
      </c>
      <c r="D1236" t="s">
        <v>25</v>
      </c>
      <c r="E1236" t="s">
        <v>33</v>
      </c>
      <c r="F1236" t="s">
        <v>52</v>
      </c>
      <c r="G1236" t="s">
        <v>28</v>
      </c>
      <c r="H1236">
        <v>60</v>
      </c>
      <c r="I1236">
        <v>20</v>
      </c>
      <c r="K1236">
        <v>14</v>
      </c>
      <c r="L1236">
        <v>2.7</v>
      </c>
      <c r="N1236">
        <v>110</v>
      </c>
      <c r="O1236">
        <v>140</v>
      </c>
      <c r="S1236">
        <v>2.7</v>
      </c>
      <c r="T1236">
        <v>8.1</v>
      </c>
      <c r="U1236">
        <v>17.1</v>
      </c>
      <c r="V1236">
        <v>984.7</v>
      </c>
      <c r="W1236">
        <v>30</v>
      </c>
      <c r="X1236" t="s">
        <v>507</v>
      </c>
    </row>
    <row r="1237" spans="1:24">
      <c r="A1237" t="str">
        <f>Hyperlink("https://www.diodes.com/part/view/DMP6185SE","DMP6185SE")</f>
        <v>DMP6185SE</v>
      </c>
      <c r="B1237" t="str">
        <f>Hyperlink("https://www.diodes.com/assets/Datasheets/DMP6185SE.pdf","DMP6185SE Datasheet")</f>
        <v>DMP6185SE Datasheet</v>
      </c>
      <c r="C1237" t="s">
        <v>51</v>
      </c>
      <c r="D1237" t="s">
        <v>25</v>
      </c>
      <c r="E1237" t="s">
        <v>26</v>
      </c>
      <c r="F1237" t="s">
        <v>52</v>
      </c>
      <c r="G1237" t="s">
        <v>28</v>
      </c>
      <c r="H1237">
        <v>60</v>
      </c>
      <c r="I1237">
        <v>20</v>
      </c>
      <c r="J1237">
        <v>3</v>
      </c>
      <c r="L1237">
        <v>2.2</v>
      </c>
      <c r="N1237">
        <v>150</v>
      </c>
      <c r="O1237">
        <v>185</v>
      </c>
      <c r="S1237">
        <v>3</v>
      </c>
      <c r="T1237">
        <v>6.2</v>
      </c>
      <c r="U1237">
        <v>14</v>
      </c>
      <c r="V1237">
        <v>708</v>
      </c>
      <c r="W1237">
        <v>30</v>
      </c>
      <c r="X1237" t="s">
        <v>586</v>
      </c>
    </row>
    <row r="1238" spans="1:24">
      <c r="A1238" t="str">
        <f>Hyperlink("https://www.diodes.com/part/view/DMP6185SEQ","DMP6185SEQ")</f>
        <v>DMP6185SEQ</v>
      </c>
      <c r="B1238" t="str">
        <f>Hyperlink("https://www.diodes.com/assets/Datasheets/DMP6185SEQ.pdf","DMP6185SEQ Datasheet")</f>
        <v>DMP6185SEQ Datasheet</v>
      </c>
      <c r="C1238" t="s">
        <v>870</v>
      </c>
      <c r="D1238" t="s">
        <v>25</v>
      </c>
      <c r="E1238" t="s">
        <v>33</v>
      </c>
      <c r="F1238" t="s">
        <v>52</v>
      </c>
      <c r="G1238" t="s">
        <v>28</v>
      </c>
      <c r="H1238">
        <v>60</v>
      </c>
      <c r="I1238">
        <v>20</v>
      </c>
      <c r="J1238">
        <v>3</v>
      </c>
      <c r="L1238">
        <v>2.2</v>
      </c>
      <c r="N1238">
        <v>150</v>
      </c>
      <c r="O1238">
        <v>185</v>
      </c>
      <c r="S1238">
        <v>3</v>
      </c>
      <c r="T1238">
        <v>6.2</v>
      </c>
      <c r="U1238">
        <v>14</v>
      </c>
      <c r="W1238">
        <v>30</v>
      </c>
      <c r="X1238" t="s">
        <v>586</v>
      </c>
    </row>
    <row r="1239" spans="1:24">
      <c r="A1239" t="str">
        <f>Hyperlink("https://www.diodes.com/part/view/DMP6185SK3","DMP6185SK3")</f>
        <v>DMP6185SK3</v>
      </c>
      <c r="B1239" t="str">
        <f>Hyperlink("https://www.diodes.com/assets/Datasheets/DMP6185SK3.pdf","DMP6185SK3 Datasheet")</f>
        <v>DMP6185SK3 Datasheet</v>
      </c>
      <c r="C1239" t="s">
        <v>51</v>
      </c>
      <c r="D1239" t="s">
        <v>25</v>
      </c>
      <c r="E1239" t="s">
        <v>26</v>
      </c>
      <c r="F1239" t="s">
        <v>52</v>
      </c>
      <c r="G1239" t="s">
        <v>28</v>
      </c>
      <c r="H1239">
        <v>60</v>
      </c>
      <c r="I1239">
        <v>20</v>
      </c>
      <c r="J1239">
        <v>3.6</v>
      </c>
      <c r="L1239">
        <v>2.8</v>
      </c>
      <c r="N1239">
        <v>150</v>
      </c>
      <c r="O1239">
        <v>185</v>
      </c>
      <c r="S1239">
        <v>3</v>
      </c>
      <c r="T1239">
        <v>6.2</v>
      </c>
      <c r="U1239">
        <v>14</v>
      </c>
      <c r="V1239">
        <v>708</v>
      </c>
      <c r="X1239" t="s">
        <v>507</v>
      </c>
    </row>
    <row r="1240" spans="1:24">
      <c r="A1240" t="str">
        <f>Hyperlink("https://www.diodes.com/part/view/DMP6250SE","DMP6250SE")</f>
        <v>DMP6250SE</v>
      </c>
      <c r="B1240" t="str">
        <f>Hyperlink("https://www.diodes.com/assets/Datasheets/DMP6250SE.pdf","DMP6250SE Datasheet")</f>
        <v>DMP6250SE Datasheet</v>
      </c>
      <c r="C1240" t="s">
        <v>51</v>
      </c>
      <c r="D1240" t="s">
        <v>25</v>
      </c>
      <c r="E1240" t="s">
        <v>26</v>
      </c>
      <c r="F1240" t="s">
        <v>52</v>
      </c>
      <c r="G1240" t="s">
        <v>28</v>
      </c>
      <c r="H1240">
        <v>60</v>
      </c>
      <c r="I1240">
        <v>20</v>
      </c>
      <c r="J1240">
        <v>2.1</v>
      </c>
      <c r="L1240">
        <v>1.8</v>
      </c>
      <c r="N1240">
        <v>250</v>
      </c>
      <c r="O1240">
        <v>300</v>
      </c>
      <c r="S1240">
        <v>3</v>
      </c>
      <c r="T1240">
        <v>4.8</v>
      </c>
      <c r="U1240">
        <v>9.7</v>
      </c>
      <c r="V1240">
        <v>551</v>
      </c>
      <c r="W1240">
        <v>30</v>
      </c>
      <c r="X1240" t="s">
        <v>586</v>
      </c>
    </row>
    <row r="1241" spans="1:24">
      <c r="A1241" t="str">
        <f>Hyperlink("https://www.diodes.com/part/view/DMP6250SEQ","DMP6250SEQ")</f>
        <v>DMP6250SEQ</v>
      </c>
      <c r="B1241" t="str">
        <f>Hyperlink("https://www.diodes.com/assets/Datasheets/DMP6250SEQ.pdf","DMP6250SEQ Datasheet")</f>
        <v>DMP6250SEQ Datasheet</v>
      </c>
      <c r="C1241" t="s">
        <v>870</v>
      </c>
      <c r="D1241" t="s">
        <v>25</v>
      </c>
      <c r="E1241" t="s">
        <v>33</v>
      </c>
      <c r="F1241" t="s">
        <v>52</v>
      </c>
      <c r="G1241" t="s">
        <v>28</v>
      </c>
      <c r="H1241">
        <v>60</v>
      </c>
      <c r="I1241">
        <v>20</v>
      </c>
      <c r="K1241">
        <v>6.1</v>
      </c>
      <c r="L1241">
        <v>1.8</v>
      </c>
      <c r="M1241">
        <v>14</v>
      </c>
      <c r="N1241">
        <v>250</v>
      </c>
      <c r="O1241">
        <v>300</v>
      </c>
      <c r="S1241">
        <v>3</v>
      </c>
      <c r="T1241">
        <v>4.8</v>
      </c>
      <c r="U1241">
        <v>9.7</v>
      </c>
      <c r="V1241">
        <v>551</v>
      </c>
      <c r="W1241">
        <v>30</v>
      </c>
      <c r="X1241" t="s">
        <v>586</v>
      </c>
    </row>
    <row r="1242" spans="1:24">
      <c r="A1242" t="str">
        <f>Hyperlink("https://www.diodes.com/part/view/DMP6250SFDF","DMP6250SFDF")</f>
        <v>DMP6250SFDF</v>
      </c>
      <c r="B1242" t="str">
        <f>Hyperlink("https://www.diodes.com/assets/Datasheets/DMP6250SFDF.pdf","DMP6250SFDF Datasheet")</f>
        <v>DMP6250SFDF Datasheet</v>
      </c>
      <c r="C1242" t="s">
        <v>51</v>
      </c>
      <c r="D1242" t="s">
        <v>25</v>
      </c>
      <c r="E1242" t="s">
        <v>26</v>
      </c>
      <c r="F1242" t="s">
        <v>52</v>
      </c>
      <c r="G1242" t="s">
        <v>28</v>
      </c>
      <c r="H1242">
        <v>60</v>
      </c>
      <c r="I1242">
        <v>20</v>
      </c>
      <c r="J1242">
        <v>3.2</v>
      </c>
      <c r="L1242">
        <v>2</v>
      </c>
      <c r="N1242">
        <v>155</v>
      </c>
      <c r="O1242">
        <v>240</v>
      </c>
      <c r="S1242">
        <v>3</v>
      </c>
      <c r="T1242">
        <v>4.3</v>
      </c>
      <c r="U1242">
        <v>8.9</v>
      </c>
      <c r="V1242" t="s">
        <v>874</v>
      </c>
      <c r="X1242" t="s">
        <v>568</v>
      </c>
    </row>
    <row r="1243" spans="1:24">
      <c r="A1243" t="str">
        <f>Hyperlink("https://www.diodes.com/part/view/DMP6350S","DMP6350S")</f>
        <v>DMP6350S</v>
      </c>
      <c r="B1243" t="str">
        <f>Hyperlink("https://www.diodes.com/assets/Datasheets/DMP6350S.pdf","DMP6350S Datasheet")</f>
        <v>DMP6350S Datasheet</v>
      </c>
      <c r="C1243" t="s">
        <v>870</v>
      </c>
      <c r="D1243" t="s">
        <v>25</v>
      </c>
      <c r="E1243" t="s">
        <v>26</v>
      </c>
      <c r="F1243" t="s">
        <v>52</v>
      </c>
      <c r="G1243" t="s">
        <v>28</v>
      </c>
      <c r="H1243">
        <v>60</v>
      </c>
      <c r="I1243">
        <v>20</v>
      </c>
      <c r="J1243">
        <v>1.5</v>
      </c>
      <c r="L1243">
        <v>1.17</v>
      </c>
      <c r="N1243">
        <v>350</v>
      </c>
      <c r="O1243">
        <v>550</v>
      </c>
      <c r="S1243">
        <v>3</v>
      </c>
      <c r="T1243">
        <v>2</v>
      </c>
      <c r="U1243">
        <v>4.1</v>
      </c>
      <c r="V1243">
        <v>206</v>
      </c>
      <c r="W1243">
        <v>30</v>
      </c>
      <c r="X1243" t="s">
        <v>32</v>
      </c>
    </row>
    <row r="1244" spans="1:24">
      <c r="A1244" t="str">
        <f>Hyperlink("https://www.diodes.com/part/view/DMP6350SQ","DMP6350SQ")</f>
        <v>DMP6350SQ</v>
      </c>
      <c r="B1244" t="str">
        <f>Hyperlink("https://www.diodes.com/assets/Datasheets/DMP6350SQ.pdf","DMP6350SQ Datasheet")</f>
        <v>DMP6350SQ Datasheet</v>
      </c>
      <c r="C1244" t="s">
        <v>870</v>
      </c>
      <c r="D1244" t="s">
        <v>25</v>
      </c>
      <c r="E1244" t="s">
        <v>33</v>
      </c>
      <c r="F1244" t="s">
        <v>52</v>
      </c>
      <c r="G1244" t="s">
        <v>28</v>
      </c>
      <c r="H1244">
        <v>60</v>
      </c>
      <c r="I1244">
        <v>20</v>
      </c>
      <c r="J1244">
        <v>1.5</v>
      </c>
      <c r="L1244">
        <v>1.17</v>
      </c>
      <c r="N1244">
        <v>350</v>
      </c>
      <c r="O1244">
        <v>550</v>
      </c>
      <c r="S1244">
        <v>3</v>
      </c>
      <c r="T1244">
        <v>2</v>
      </c>
      <c r="U1244">
        <v>4.1</v>
      </c>
      <c r="W1244">
        <v>30</v>
      </c>
      <c r="X1244" t="s">
        <v>32</v>
      </c>
    </row>
    <row r="1245" spans="1:24">
      <c r="A1245" t="str">
        <f>Hyperlink("https://www.diodes.com/part/view/DMP65H11D0HSS","DMP65H11D0HSS")</f>
        <v>DMP65H11D0HSS</v>
      </c>
      <c r="B1245" t="str">
        <f>Hyperlink("https://www.diodes.com/assets/Datasheets/DMP65H11D0HSS.pdf","DMP65H11D0HSS Datasheet")</f>
        <v>DMP65H11D0HSS Datasheet</v>
      </c>
      <c r="C1245" t="s">
        <v>875</v>
      </c>
      <c r="D1245" t="s">
        <v>28</v>
      </c>
      <c r="E1245" t="s">
        <v>26</v>
      </c>
      <c r="F1245" t="s">
        <v>52</v>
      </c>
      <c r="G1245" t="s">
        <v>25</v>
      </c>
      <c r="H1245">
        <v>600</v>
      </c>
      <c r="I1245">
        <v>30</v>
      </c>
      <c r="J1245">
        <v>0.27</v>
      </c>
      <c r="L1245">
        <v>1.9</v>
      </c>
      <c r="N1245">
        <v>11000</v>
      </c>
      <c r="S1245">
        <v>4</v>
      </c>
      <c r="U1245">
        <v>13</v>
      </c>
      <c r="X1245" t="s">
        <v>876</v>
      </c>
    </row>
    <row r="1246" spans="1:24">
      <c r="A1246" t="str">
        <f>Hyperlink("https://www.diodes.com/part/view/DMP65H13D0HSS","DMP65H13D0HSS")</f>
        <v>DMP65H13D0HSS</v>
      </c>
      <c r="B1246" t="str">
        <f>Hyperlink("https://www.diodes.com/assets/Datasheets/DMP65H13D0HSS.pdf","DMP65H13D0HSS Datasheet")</f>
        <v>DMP65H13D0HSS Datasheet</v>
      </c>
      <c r="C1246" t="s">
        <v>875</v>
      </c>
      <c r="D1246" t="s">
        <v>28</v>
      </c>
      <c r="E1246" t="s">
        <v>26</v>
      </c>
      <c r="F1246" t="s">
        <v>52</v>
      </c>
      <c r="G1246" t="s">
        <v>28</v>
      </c>
      <c r="H1246">
        <v>600</v>
      </c>
      <c r="I1246">
        <v>30</v>
      </c>
      <c r="J1246">
        <v>0.25</v>
      </c>
      <c r="L1246">
        <v>1.9</v>
      </c>
      <c r="N1246">
        <v>13000</v>
      </c>
      <c r="S1246">
        <v>4</v>
      </c>
      <c r="U1246">
        <v>13.4</v>
      </c>
      <c r="X1246" t="s">
        <v>876</v>
      </c>
    </row>
    <row r="1247" spans="1:24">
      <c r="A1247" t="str">
        <f>Hyperlink("https://www.diodes.com/part/view/DMP65H20D0HSS","DMP65H20D0HSS")</f>
        <v>DMP65H20D0HSS</v>
      </c>
      <c r="B1247" t="str">
        <f>Hyperlink("https://www.diodes.com/assets/Datasheets/DMP65H20D0HSS.pdf","DMP65H20D0HSS Datasheet")</f>
        <v>DMP65H20D0HSS Datasheet</v>
      </c>
      <c r="C1247" t="s">
        <v>875</v>
      </c>
      <c r="D1247" t="s">
        <v>28</v>
      </c>
      <c r="E1247" t="s">
        <v>26</v>
      </c>
      <c r="F1247" t="s">
        <v>52</v>
      </c>
      <c r="G1247" t="s">
        <v>25</v>
      </c>
      <c r="H1247">
        <v>600</v>
      </c>
      <c r="I1247">
        <v>30</v>
      </c>
      <c r="J1247">
        <v>0.2</v>
      </c>
      <c r="L1247">
        <v>1.9</v>
      </c>
      <c r="N1247">
        <v>20000</v>
      </c>
      <c r="S1247">
        <v>4</v>
      </c>
      <c r="U1247">
        <v>9.7</v>
      </c>
      <c r="X1247" t="s">
        <v>876</v>
      </c>
    </row>
    <row r="1248" spans="1:24">
      <c r="A1248" t="str">
        <f>Hyperlink("https://www.diodes.com/part/view/DMP65H9D0HSS","DMP65H9D0HSS")</f>
        <v>DMP65H9D0HSS</v>
      </c>
      <c r="B1248" t="str">
        <f>Hyperlink("https://www.diodes.com/assets/Datasheets/DMP65H9D0HSS.pdf","DMP65H9D0HSS Datasheet")</f>
        <v>DMP65H9D0HSS Datasheet</v>
      </c>
      <c r="C1248" t="s">
        <v>875</v>
      </c>
      <c r="D1248" t="s">
        <v>28</v>
      </c>
      <c r="E1248" t="s">
        <v>26</v>
      </c>
      <c r="F1248" t="s">
        <v>52</v>
      </c>
      <c r="G1248" t="s">
        <v>25</v>
      </c>
      <c r="H1248">
        <v>600</v>
      </c>
      <c r="I1248">
        <v>30</v>
      </c>
      <c r="J1248">
        <v>0.3</v>
      </c>
      <c r="L1248">
        <v>1.9</v>
      </c>
      <c r="N1248">
        <v>9000</v>
      </c>
      <c r="S1248">
        <v>4</v>
      </c>
      <c r="U1248">
        <v>17</v>
      </c>
      <c r="X1248" t="s">
        <v>876</v>
      </c>
    </row>
    <row r="1249" spans="1:24">
      <c r="A1249" t="str">
        <f>Hyperlink("https://www.diodes.com/part/view/DMP68D0LFB","DMP68D0LFB")</f>
        <v>DMP68D0LFB</v>
      </c>
      <c r="B1249" t="str">
        <f>Hyperlink("https://www.diodes.com/assets/Datasheets/DMP68D0LFB.pdf","DMP68D0LFB Datasheet")</f>
        <v>DMP68D0LFB Datasheet</v>
      </c>
      <c r="C1249" t="s">
        <v>877</v>
      </c>
      <c r="D1249" t="s">
        <v>28</v>
      </c>
      <c r="E1249" t="s">
        <v>26</v>
      </c>
      <c r="F1249" t="s">
        <v>52</v>
      </c>
      <c r="G1249" t="s">
        <v>28</v>
      </c>
      <c r="H1249">
        <v>65</v>
      </c>
      <c r="I1249">
        <v>20</v>
      </c>
      <c r="J1249">
        <v>0.318</v>
      </c>
      <c r="L1249">
        <v>1.21</v>
      </c>
      <c r="P1249">
        <v>18000</v>
      </c>
      <c r="S1249">
        <v>2.1</v>
      </c>
      <c r="W1249">
        <v>36</v>
      </c>
      <c r="X1249" t="s">
        <v>592</v>
      </c>
    </row>
    <row r="1250" spans="1:24">
      <c r="A1250" t="str">
        <f>Hyperlink("https://www.diodes.com/part/view/DMP68D1L","DMP68D1L")</f>
        <v>DMP68D1L</v>
      </c>
      <c r="B1250" t="str">
        <f>Hyperlink("https://www.diodes.com/assets/Datasheets/DMP68D1L.pdf","DMP68D1L Datasheet")</f>
        <v>DMP68D1L Datasheet</v>
      </c>
      <c r="C1250" t="s">
        <v>777</v>
      </c>
      <c r="D1250" t="s">
        <v>25</v>
      </c>
      <c r="E1250" t="s">
        <v>26</v>
      </c>
      <c r="F1250" t="s">
        <v>52</v>
      </c>
      <c r="G1250" t="s">
        <v>25</v>
      </c>
      <c r="H1250">
        <v>60</v>
      </c>
      <c r="I1250">
        <v>20</v>
      </c>
      <c r="J1250">
        <v>0.206</v>
      </c>
      <c r="L1250">
        <v>0.6</v>
      </c>
      <c r="N1250">
        <v>7500</v>
      </c>
      <c r="O1250" t="s">
        <v>868</v>
      </c>
      <c r="R1250">
        <v>0.8</v>
      </c>
      <c r="S1250">
        <v>2.1</v>
      </c>
      <c r="T1250" t="s">
        <v>869</v>
      </c>
      <c r="V1250">
        <v>42</v>
      </c>
      <c r="W1250">
        <v>30</v>
      </c>
      <c r="X1250" t="s">
        <v>32</v>
      </c>
    </row>
    <row r="1251" spans="1:24">
      <c r="A1251" t="str">
        <f>Hyperlink("https://www.diodes.com/part/view/DMP68D1LFB","DMP68D1LFB")</f>
        <v>DMP68D1LFB</v>
      </c>
      <c r="B1251" t="str">
        <f>Hyperlink("https://www.diodes.com/assets/Datasheets/DMP68D1LFB.pdf","DMP68D1LFB Datasheet")</f>
        <v>DMP68D1LFB Datasheet</v>
      </c>
      <c r="C1251" t="s">
        <v>877</v>
      </c>
      <c r="D1251" t="s">
        <v>28</v>
      </c>
      <c r="E1251" t="s">
        <v>26</v>
      </c>
      <c r="F1251" t="s">
        <v>52</v>
      </c>
      <c r="G1251" t="s">
        <v>25</v>
      </c>
      <c r="H1251">
        <v>65</v>
      </c>
      <c r="I1251">
        <v>20</v>
      </c>
      <c r="J1251">
        <v>0.29</v>
      </c>
      <c r="L1251">
        <v>1.2</v>
      </c>
      <c r="O1251" t="s">
        <v>747</v>
      </c>
      <c r="P1251">
        <v>18000</v>
      </c>
      <c r="R1251">
        <v>0.8</v>
      </c>
      <c r="S1251">
        <v>2.1</v>
      </c>
      <c r="T1251" t="s">
        <v>878</v>
      </c>
      <c r="V1251">
        <v>42</v>
      </c>
      <c r="W1251">
        <v>30</v>
      </c>
      <c r="X1251" t="s">
        <v>592</v>
      </c>
    </row>
    <row r="1252" spans="1:24">
      <c r="A1252" t="str">
        <f>Hyperlink("https://www.diodes.com/part/view/DMP68D1LQ","DMP68D1LQ")</f>
        <v>DMP68D1LQ</v>
      </c>
      <c r="B1252" t="str">
        <f>Hyperlink("https://www.diodes.com/assets/Datasheets/DMP68D1LQ.pdf","DMP68D1LQ Datasheet")</f>
        <v>DMP68D1LQ Datasheet</v>
      </c>
      <c r="C1252" t="s">
        <v>777</v>
      </c>
      <c r="D1252" t="s">
        <v>25</v>
      </c>
      <c r="E1252" t="s">
        <v>33</v>
      </c>
      <c r="F1252" t="s">
        <v>52</v>
      </c>
      <c r="G1252" t="s">
        <v>25</v>
      </c>
      <c r="H1252">
        <v>60</v>
      </c>
      <c r="I1252">
        <v>20</v>
      </c>
      <c r="J1252">
        <v>0.206</v>
      </c>
      <c r="L1252">
        <v>0.6</v>
      </c>
      <c r="N1252">
        <v>7500</v>
      </c>
      <c r="O1252" t="s">
        <v>868</v>
      </c>
      <c r="R1252">
        <v>0.8</v>
      </c>
      <c r="S1252">
        <v>2.1</v>
      </c>
      <c r="T1252" t="s">
        <v>869</v>
      </c>
      <c r="V1252">
        <v>42</v>
      </c>
      <c r="W1252">
        <v>30</v>
      </c>
      <c r="X1252" t="s">
        <v>32</v>
      </c>
    </row>
    <row r="1253" spans="1:24">
      <c r="A1253" t="str">
        <f>Hyperlink("https://www.diodes.com/part/view/DMP68D1LV","DMP68D1LV")</f>
        <v>DMP68D1LV</v>
      </c>
      <c r="B1253" t="str">
        <f>Hyperlink("https://www.diodes.com/assets/Datasheets/DMP68D1LV.pdf","DMP68D1LV Datasheet")</f>
        <v>DMP68D1LV Datasheet</v>
      </c>
      <c r="C1253" t="s">
        <v>816</v>
      </c>
      <c r="D1253" t="s">
        <v>28</v>
      </c>
      <c r="E1253" t="s">
        <v>26</v>
      </c>
      <c r="F1253" t="s">
        <v>78</v>
      </c>
      <c r="G1253" t="s">
        <v>25</v>
      </c>
      <c r="H1253">
        <v>60</v>
      </c>
      <c r="I1253">
        <v>20</v>
      </c>
      <c r="J1253">
        <v>0.238</v>
      </c>
      <c r="L1253">
        <v>0.8</v>
      </c>
      <c r="O1253" t="s">
        <v>868</v>
      </c>
      <c r="R1253">
        <v>0.8</v>
      </c>
      <c r="S1253">
        <v>2.1</v>
      </c>
      <c r="T1253" t="s">
        <v>869</v>
      </c>
      <c r="V1253">
        <v>42</v>
      </c>
      <c r="W1253">
        <v>30</v>
      </c>
      <c r="X1253" t="s">
        <v>43</v>
      </c>
    </row>
    <row r="1254" spans="1:24">
      <c r="A1254" t="str">
        <f>Hyperlink("https://www.diodes.com/part/view/DMP68D1LVQ","DMP68D1LVQ")</f>
        <v>DMP68D1LVQ</v>
      </c>
      <c r="B1254" t="str">
        <f>Hyperlink("https://www.diodes.com/assets/Datasheets/DMP68D1LVQ.pdf","DMP68D1LVQ Datasheet")</f>
        <v>DMP68D1LVQ Datasheet</v>
      </c>
      <c r="C1254" t="s">
        <v>816</v>
      </c>
      <c r="D1254" t="s">
        <v>25</v>
      </c>
      <c r="E1254" t="s">
        <v>33</v>
      </c>
      <c r="F1254" t="s">
        <v>78</v>
      </c>
      <c r="G1254" t="s">
        <v>25</v>
      </c>
      <c r="H1254">
        <v>60</v>
      </c>
      <c r="I1254">
        <v>20</v>
      </c>
      <c r="J1254">
        <v>0.238</v>
      </c>
      <c r="L1254">
        <v>0.8</v>
      </c>
      <c r="O1254" t="s">
        <v>868</v>
      </c>
      <c r="R1254">
        <v>0.8</v>
      </c>
      <c r="S1254">
        <v>2.1</v>
      </c>
      <c r="T1254" t="s">
        <v>869</v>
      </c>
      <c r="V1254">
        <v>42</v>
      </c>
      <c r="W1254">
        <v>30</v>
      </c>
      <c r="X1254" t="s">
        <v>43</v>
      </c>
    </row>
    <row r="1255" spans="1:24">
      <c r="A1255" t="str">
        <f>Hyperlink("https://www.diodes.com/part/view/DMPH1006UPS","DMPH1006UPS")</f>
        <v>DMPH1006UPS</v>
      </c>
      <c r="B1255" t="str">
        <f>Hyperlink("https://www.diodes.com/assets/Datasheets/DMPH1006UPS.pdf","DMPH1006UPS Datasheet")</f>
        <v>DMPH1006UPS Datasheet</v>
      </c>
      <c r="C1255" t="s">
        <v>879</v>
      </c>
      <c r="D1255" t="s">
        <v>25</v>
      </c>
      <c r="E1255" t="s">
        <v>26</v>
      </c>
      <c r="F1255" t="s">
        <v>52</v>
      </c>
      <c r="G1255" t="s">
        <v>28</v>
      </c>
      <c r="H1255">
        <v>12</v>
      </c>
      <c r="I1255">
        <v>8</v>
      </c>
      <c r="K1255">
        <v>80</v>
      </c>
      <c r="L1255">
        <v>3.2</v>
      </c>
      <c r="O1255">
        <v>6</v>
      </c>
      <c r="P1255">
        <v>8</v>
      </c>
      <c r="R1255">
        <v>0.4</v>
      </c>
      <c r="S1255">
        <v>1</v>
      </c>
      <c r="T1255">
        <v>72</v>
      </c>
      <c r="U1255" t="s">
        <v>880</v>
      </c>
      <c r="V1255">
        <v>6334</v>
      </c>
      <c r="W1255">
        <v>10</v>
      </c>
      <c r="X1255" t="s">
        <v>617</v>
      </c>
    </row>
    <row r="1256" spans="1:24">
      <c r="A1256" t="str">
        <f>Hyperlink("https://www.diodes.com/part/view/DMPH1006UPSQ","DMPH1006UPSQ")</f>
        <v>DMPH1006UPSQ</v>
      </c>
      <c r="B1256" t="str">
        <f>Hyperlink("https://www.diodes.com/assets/Datasheets/DMPH1006UPSQ.pdf","DMPH1006UPSQ Datasheet")</f>
        <v>DMPH1006UPSQ Datasheet</v>
      </c>
      <c r="C1256" t="s">
        <v>879</v>
      </c>
      <c r="D1256" t="s">
        <v>25</v>
      </c>
      <c r="E1256" t="s">
        <v>33</v>
      </c>
      <c r="F1256" t="s">
        <v>52</v>
      </c>
      <c r="G1256" t="s">
        <v>28</v>
      </c>
      <c r="H1256">
        <v>12</v>
      </c>
      <c r="I1256">
        <v>8</v>
      </c>
      <c r="K1256">
        <v>80</v>
      </c>
      <c r="L1256">
        <v>3.2</v>
      </c>
      <c r="O1256">
        <v>6</v>
      </c>
      <c r="P1256">
        <v>8</v>
      </c>
      <c r="R1256">
        <v>0.4</v>
      </c>
      <c r="S1256">
        <v>1</v>
      </c>
      <c r="T1256">
        <v>72</v>
      </c>
      <c r="U1256" t="s">
        <v>880</v>
      </c>
      <c r="V1256">
        <v>6334</v>
      </c>
      <c r="W1256">
        <v>10</v>
      </c>
      <c r="X1256" t="s">
        <v>617</v>
      </c>
    </row>
    <row r="1257" spans="1:24">
      <c r="A1257" t="str">
        <f>Hyperlink("https://www.diodes.com/part/view/DMPH16M1UPSW","DMPH16M1UPSW")</f>
        <v>DMPH16M1UPSW</v>
      </c>
      <c r="B1257" t="str">
        <f>Hyperlink("https://www.diodes.com/assets/Datasheets/DMPH16M1UPSW.pdf","DMPH16M1UPSW Datasheet")</f>
        <v>DMPH16M1UPSW Datasheet</v>
      </c>
      <c r="C1257" t="s">
        <v>881</v>
      </c>
      <c r="D1257" t="s">
        <v>28</v>
      </c>
      <c r="E1257" t="s">
        <v>26</v>
      </c>
      <c r="F1257" t="s">
        <v>52</v>
      </c>
      <c r="G1257" t="s">
        <v>28</v>
      </c>
      <c r="H1257">
        <v>12</v>
      </c>
      <c r="I1257">
        <v>8</v>
      </c>
      <c r="J1257">
        <v>96</v>
      </c>
      <c r="L1257">
        <v>1.95</v>
      </c>
      <c r="O1257">
        <v>6</v>
      </c>
      <c r="P1257">
        <v>8</v>
      </c>
      <c r="R1257">
        <v>0.4</v>
      </c>
      <c r="S1257">
        <v>1</v>
      </c>
      <c r="T1257">
        <v>75</v>
      </c>
      <c r="U1257">
        <v>164</v>
      </c>
      <c r="V1257">
        <v>5392</v>
      </c>
      <c r="W1257">
        <v>10</v>
      </c>
      <c r="X1257" t="s">
        <v>757</v>
      </c>
    </row>
    <row r="1258" spans="1:24">
      <c r="A1258" t="str">
        <f>Hyperlink("https://www.diodes.com/part/view/DMPH2040UVTQ","DMPH2040UVTQ")</f>
        <v>DMPH2040UVTQ</v>
      </c>
      <c r="B1258" t="str">
        <f>Hyperlink("https://www.diodes.com/assets/Datasheets/DMPH2040UVTQ.pdf","DMPH2040UVTQ Datasheet")</f>
        <v>DMPH2040UVTQ Datasheet</v>
      </c>
      <c r="C1258" t="s">
        <v>882</v>
      </c>
      <c r="D1258" t="s">
        <v>25</v>
      </c>
      <c r="E1258" t="s">
        <v>33</v>
      </c>
      <c r="F1258" t="s">
        <v>52</v>
      </c>
      <c r="G1258" t="s">
        <v>28</v>
      </c>
      <c r="H1258">
        <v>20</v>
      </c>
      <c r="I1258">
        <v>12</v>
      </c>
      <c r="J1258">
        <v>5.6</v>
      </c>
      <c r="L1258">
        <v>1.5</v>
      </c>
      <c r="O1258">
        <v>38</v>
      </c>
      <c r="P1258">
        <v>52</v>
      </c>
      <c r="R1258">
        <v>0.6</v>
      </c>
      <c r="S1258">
        <v>1.5</v>
      </c>
      <c r="T1258">
        <v>8.6</v>
      </c>
      <c r="U1258" t="s">
        <v>800</v>
      </c>
      <c r="V1258">
        <v>834</v>
      </c>
      <c r="W1258">
        <v>10</v>
      </c>
      <c r="X1258" t="s">
        <v>128</v>
      </c>
    </row>
    <row r="1259" spans="1:24">
      <c r="A1259" t="str">
        <f>Hyperlink("https://www.diodes.com/part/view/DMPH3010LK3","DMPH3010LK3")</f>
        <v>DMPH3010LK3</v>
      </c>
      <c r="B1259" t="str">
        <f>Hyperlink("https://www.diodes.com/assets/Datasheets/DMPH3010LK3.pdf","DMPH3010LK3 Datasheet")</f>
        <v>DMPH3010LK3 Datasheet</v>
      </c>
      <c r="C1259" t="s">
        <v>883</v>
      </c>
      <c r="D1259" t="s">
        <v>25</v>
      </c>
      <c r="E1259" t="s">
        <v>26</v>
      </c>
      <c r="F1259" t="s">
        <v>52</v>
      </c>
      <c r="G1259" t="s">
        <v>28</v>
      </c>
      <c r="H1259">
        <v>30</v>
      </c>
      <c r="I1259">
        <v>20</v>
      </c>
      <c r="J1259">
        <v>16</v>
      </c>
      <c r="L1259">
        <v>3.9</v>
      </c>
      <c r="N1259">
        <v>7.5</v>
      </c>
      <c r="O1259">
        <v>10</v>
      </c>
      <c r="S1259">
        <v>2.1</v>
      </c>
      <c r="T1259">
        <v>66</v>
      </c>
      <c r="U1259">
        <v>139</v>
      </c>
      <c r="V1259">
        <v>6807</v>
      </c>
      <c r="W1259">
        <v>15</v>
      </c>
      <c r="X1259" t="s">
        <v>507</v>
      </c>
    </row>
    <row r="1260" spans="1:24">
      <c r="A1260" t="str">
        <f>Hyperlink("https://www.diodes.com/part/view/DMPH3010LK3Q","DMPH3010LK3Q")</f>
        <v>DMPH3010LK3Q</v>
      </c>
      <c r="B1260" t="str">
        <f>Hyperlink("https://www.diodes.com/assets/Datasheets/DMPH3010LK3Q.pdf","DMPH3010LK3Q Datasheet")</f>
        <v>DMPH3010LK3Q Datasheet</v>
      </c>
      <c r="C1260" t="s">
        <v>883</v>
      </c>
      <c r="D1260" t="s">
        <v>25</v>
      </c>
      <c r="E1260" t="s">
        <v>33</v>
      </c>
      <c r="F1260" t="s">
        <v>52</v>
      </c>
      <c r="G1260" t="s">
        <v>28</v>
      </c>
      <c r="H1260">
        <v>30</v>
      </c>
      <c r="I1260">
        <v>20</v>
      </c>
      <c r="J1260">
        <v>16</v>
      </c>
      <c r="L1260">
        <v>3.9</v>
      </c>
      <c r="N1260">
        <v>7.5</v>
      </c>
      <c r="O1260">
        <v>10</v>
      </c>
      <c r="S1260">
        <v>2.1</v>
      </c>
      <c r="T1260">
        <v>66</v>
      </c>
      <c r="U1260">
        <v>139</v>
      </c>
      <c r="V1260">
        <v>6807</v>
      </c>
      <c r="W1260">
        <v>15</v>
      </c>
      <c r="X1260" t="s">
        <v>507</v>
      </c>
    </row>
    <row r="1261" spans="1:24">
      <c r="A1261" t="str">
        <f>Hyperlink("https://www.diodes.com/part/view/DMPH3010LPS","DMPH3010LPS")</f>
        <v>DMPH3010LPS</v>
      </c>
      <c r="B1261" t="str">
        <f>Hyperlink("https://www.diodes.com/assets/Datasheets/DMPH3010LPS.pdf","DMPH3010LPS Datasheet")</f>
        <v>DMPH3010LPS Datasheet</v>
      </c>
      <c r="C1261" t="s">
        <v>883</v>
      </c>
      <c r="D1261" t="s">
        <v>25</v>
      </c>
      <c r="E1261" t="s">
        <v>26</v>
      </c>
      <c r="F1261" t="s">
        <v>52</v>
      </c>
      <c r="G1261" t="s">
        <v>28</v>
      </c>
      <c r="H1261">
        <v>30</v>
      </c>
      <c r="I1261">
        <v>20</v>
      </c>
      <c r="J1261">
        <v>15</v>
      </c>
      <c r="L1261">
        <v>2.6</v>
      </c>
      <c r="N1261">
        <v>7.5</v>
      </c>
      <c r="O1261">
        <v>10</v>
      </c>
      <c r="S1261">
        <v>2.1</v>
      </c>
      <c r="T1261">
        <v>66</v>
      </c>
      <c r="U1261">
        <v>139</v>
      </c>
      <c r="V1261">
        <v>6807</v>
      </c>
      <c r="W1261">
        <v>15</v>
      </c>
      <c r="X1261" t="s">
        <v>617</v>
      </c>
    </row>
    <row r="1262" spans="1:24">
      <c r="A1262" t="str">
        <f>Hyperlink("https://www.diodes.com/part/view/DMPH3010LPSQ","DMPH3010LPSQ")</f>
        <v>DMPH3010LPSQ</v>
      </c>
      <c r="B1262" t="str">
        <f>Hyperlink("https://www.diodes.com/assets/Datasheets/DMPH3010LPSQ.pdf","DMPH3010LPSQ Datasheet")</f>
        <v>DMPH3010LPSQ Datasheet</v>
      </c>
      <c r="C1262" t="s">
        <v>883</v>
      </c>
      <c r="D1262" t="s">
        <v>25</v>
      </c>
      <c r="E1262" t="s">
        <v>33</v>
      </c>
      <c r="F1262" t="s">
        <v>52</v>
      </c>
      <c r="G1262" t="s">
        <v>28</v>
      </c>
      <c r="H1262">
        <v>30</v>
      </c>
      <c r="I1262">
        <v>20</v>
      </c>
      <c r="J1262">
        <v>15</v>
      </c>
      <c r="L1262">
        <v>2.6</v>
      </c>
      <c r="N1262">
        <v>7.5</v>
      </c>
      <c r="O1262">
        <v>10</v>
      </c>
      <c r="S1262">
        <v>2.1</v>
      </c>
      <c r="T1262">
        <v>66</v>
      </c>
      <c r="U1262">
        <v>139</v>
      </c>
      <c r="V1262">
        <v>6807</v>
      </c>
      <c r="W1262">
        <v>15</v>
      </c>
      <c r="X1262" t="s">
        <v>617</v>
      </c>
    </row>
    <row r="1263" spans="1:24">
      <c r="A1263" t="str">
        <f>Hyperlink("https://www.diodes.com/part/view/DMPH33M8SPSW","DMPH33M8SPSW")</f>
        <v>DMPH33M8SPSW</v>
      </c>
      <c r="B1263" t="str">
        <f>Hyperlink("https://www.diodes.com/assets/Datasheets/DMPH33M8SPSW.pdf","DMPH33M8SPSW Datasheet")</f>
        <v>DMPH33M8SPSW Datasheet</v>
      </c>
      <c r="C1263" t="s">
        <v>503</v>
      </c>
      <c r="D1263" t="s">
        <v>28</v>
      </c>
      <c r="E1263" t="s">
        <v>26</v>
      </c>
      <c r="F1263" t="s">
        <v>52</v>
      </c>
      <c r="G1263" t="s">
        <v>28</v>
      </c>
      <c r="H1263">
        <v>30</v>
      </c>
      <c r="I1263">
        <v>20</v>
      </c>
      <c r="K1263">
        <v>100</v>
      </c>
      <c r="L1263">
        <v>3.4</v>
      </c>
      <c r="N1263">
        <v>3.8</v>
      </c>
      <c r="O1263">
        <v>10</v>
      </c>
      <c r="R1263">
        <v>1</v>
      </c>
      <c r="S1263">
        <v>3</v>
      </c>
      <c r="T1263">
        <v>40.7</v>
      </c>
      <c r="U1263">
        <v>80.8</v>
      </c>
      <c r="V1263" t="s">
        <v>884</v>
      </c>
      <c r="W1263">
        <v>15</v>
      </c>
      <c r="X1263" t="s">
        <v>819</v>
      </c>
    </row>
    <row r="1264" spans="1:24">
      <c r="A1264" t="str">
        <f>Hyperlink("https://www.diodes.com/part/view/DMPH33M8SPSWQ","DMPH33M8SPSWQ")</f>
        <v>DMPH33M8SPSWQ</v>
      </c>
      <c r="B1264" t="str">
        <f>Hyperlink("https://www.diodes.com/assets/Datasheets/DMPH33M8SPSWQ.pdf","DMPH33M8SPSWQ Datasheet")</f>
        <v>DMPH33M8SPSWQ Datasheet</v>
      </c>
      <c r="C1264" t="s">
        <v>503</v>
      </c>
      <c r="D1264" t="s">
        <v>25</v>
      </c>
      <c r="E1264" t="s">
        <v>33</v>
      </c>
      <c r="F1264" t="s">
        <v>52</v>
      </c>
      <c r="G1264" t="s">
        <v>28</v>
      </c>
      <c r="H1264">
        <v>30</v>
      </c>
      <c r="I1264">
        <v>20</v>
      </c>
      <c r="K1264">
        <v>100</v>
      </c>
      <c r="L1264">
        <v>3.4</v>
      </c>
      <c r="N1264">
        <v>3.8</v>
      </c>
      <c r="O1264">
        <v>10</v>
      </c>
      <c r="R1264">
        <v>1</v>
      </c>
      <c r="S1264">
        <v>3</v>
      </c>
      <c r="T1264">
        <v>40.7</v>
      </c>
      <c r="U1264">
        <v>80.8</v>
      </c>
      <c r="V1264" t="s">
        <v>884</v>
      </c>
      <c r="W1264">
        <v>15</v>
      </c>
      <c r="X1264" t="s">
        <v>819</v>
      </c>
    </row>
    <row r="1265" spans="1:24">
      <c r="A1265" t="str">
        <f>Hyperlink("https://www.diodes.com/part/view/DMPH4009SPSW","DMPH4009SPSW")</f>
        <v>DMPH4009SPSW</v>
      </c>
      <c r="B1265" t="str">
        <f>Hyperlink("https://www.diodes.com/assets/Datasheets/DMPH4009SPSW.pdf","DMPH4009SPSW Datasheet")</f>
        <v>DMPH4009SPSW Datasheet</v>
      </c>
      <c r="C1265" t="s">
        <v>885</v>
      </c>
      <c r="D1265" t="s">
        <v>28</v>
      </c>
      <c r="E1265" t="s">
        <v>26</v>
      </c>
      <c r="F1265" t="s">
        <v>52</v>
      </c>
      <c r="G1265" t="s">
        <v>28</v>
      </c>
      <c r="H1265">
        <v>40</v>
      </c>
      <c r="I1265">
        <v>20</v>
      </c>
      <c r="K1265">
        <v>83.4</v>
      </c>
      <c r="L1265">
        <v>4.6</v>
      </c>
      <c r="M1265">
        <v>143</v>
      </c>
      <c r="N1265">
        <v>11</v>
      </c>
      <c r="O1265">
        <v>19</v>
      </c>
      <c r="R1265">
        <v>1</v>
      </c>
      <c r="S1265">
        <v>2.5</v>
      </c>
      <c r="T1265">
        <v>53</v>
      </c>
      <c r="U1265">
        <v>112</v>
      </c>
      <c r="V1265">
        <v>5697</v>
      </c>
      <c r="W1265">
        <v>20</v>
      </c>
      <c r="X1265" t="s">
        <v>757</v>
      </c>
    </row>
    <row r="1266" spans="1:24">
      <c r="A1266" t="str">
        <f>Hyperlink("https://www.diodes.com/part/view/DMPH4009SPSWQ","DMPH4009SPSWQ")</f>
        <v>DMPH4009SPSWQ</v>
      </c>
      <c r="B1266" t="str">
        <f>Hyperlink("https://www.diodes.com/assets/Datasheets/DMPH4009SPSWQ.pdf","DMPH4009SPSWQ Datasheet")</f>
        <v>DMPH4009SPSWQ Datasheet</v>
      </c>
      <c r="C1266" t="s">
        <v>885</v>
      </c>
      <c r="D1266" t="s">
        <v>25</v>
      </c>
      <c r="E1266" t="s">
        <v>33</v>
      </c>
      <c r="F1266" t="s">
        <v>52</v>
      </c>
      <c r="G1266" t="s">
        <v>28</v>
      </c>
      <c r="H1266">
        <v>40</v>
      </c>
      <c r="I1266">
        <v>20</v>
      </c>
      <c r="K1266">
        <v>83.4</v>
      </c>
      <c r="L1266">
        <v>4.6</v>
      </c>
      <c r="M1266">
        <v>143</v>
      </c>
      <c r="N1266">
        <v>11</v>
      </c>
      <c r="O1266">
        <v>19</v>
      </c>
      <c r="R1266">
        <v>1</v>
      </c>
      <c r="S1266">
        <v>2.5</v>
      </c>
      <c r="T1266">
        <v>53</v>
      </c>
      <c r="U1266">
        <v>112</v>
      </c>
      <c r="V1266">
        <v>5697</v>
      </c>
      <c r="W1266">
        <v>20</v>
      </c>
      <c r="X1266" t="s">
        <v>757</v>
      </c>
    </row>
    <row r="1267" spans="1:24">
      <c r="A1267" t="str">
        <f>Hyperlink("https://www.diodes.com/part/view/DMPH4009SSS","DMPH4009SSS")</f>
        <v>DMPH4009SSS</v>
      </c>
      <c r="B1267" t="str">
        <f>Hyperlink("https://www.diodes.com/assets/Datasheets/DMPH4009SSS.pdf","DMPH4009SSS Datasheet")</f>
        <v>DMPH4009SSS Datasheet</v>
      </c>
      <c r="C1267" t="s">
        <v>885</v>
      </c>
      <c r="D1267" t="s">
        <v>28</v>
      </c>
      <c r="E1267" t="s">
        <v>26</v>
      </c>
      <c r="F1267" t="s">
        <v>52</v>
      </c>
      <c r="G1267" t="s">
        <v>28</v>
      </c>
      <c r="H1267">
        <v>40</v>
      </c>
      <c r="I1267">
        <v>20</v>
      </c>
      <c r="J1267">
        <v>11</v>
      </c>
      <c r="L1267">
        <v>2.5</v>
      </c>
      <c r="N1267">
        <v>11</v>
      </c>
      <c r="O1267">
        <v>19</v>
      </c>
      <c r="R1267">
        <v>1</v>
      </c>
      <c r="S1267">
        <v>2.5</v>
      </c>
      <c r="T1267">
        <v>53</v>
      </c>
      <c r="U1267">
        <v>112</v>
      </c>
      <c r="V1267">
        <v>5697</v>
      </c>
      <c r="W1267">
        <v>20</v>
      </c>
      <c r="X1267" t="s">
        <v>155</v>
      </c>
    </row>
    <row r="1268" spans="1:24">
      <c r="A1268" t="str">
        <f>Hyperlink("https://www.diodes.com/part/view/DMPH4009SSSQ","DMPH4009SSSQ")</f>
        <v>DMPH4009SSSQ</v>
      </c>
      <c r="B1268" t="str">
        <f>Hyperlink("https://www.diodes.com/assets/Datasheets/DMPH4009SSSQ.pdf","DMPH4009SSSQ Datasheet")</f>
        <v>DMPH4009SSSQ Datasheet</v>
      </c>
      <c r="C1268" t="s">
        <v>886</v>
      </c>
      <c r="D1268" t="s">
        <v>25</v>
      </c>
      <c r="E1268" t="s">
        <v>33</v>
      </c>
      <c r="F1268" t="s">
        <v>52</v>
      </c>
      <c r="G1268" t="s">
        <v>28</v>
      </c>
      <c r="H1268">
        <v>40</v>
      </c>
      <c r="I1268">
        <v>20</v>
      </c>
      <c r="J1268">
        <v>11</v>
      </c>
      <c r="L1268">
        <v>2.5</v>
      </c>
      <c r="N1268">
        <v>11</v>
      </c>
      <c r="O1268">
        <v>19</v>
      </c>
      <c r="R1268">
        <v>1</v>
      </c>
      <c r="S1268">
        <v>2.5</v>
      </c>
      <c r="T1268">
        <v>53</v>
      </c>
      <c r="U1268">
        <v>112</v>
      </c>
      <c r="V1268">
        <v>5697</v>
      </c>
      <c r="W1268">
        <v>20</v>
      </c>
      <c r="X1268" t="s">
        <v>155</v>
      </c>
    </row>
    <row r="1269" spans="1:24">
      <c r="A1269" t="str">
        <f>Hyperlink("https://www.diodes.com/part/view/DMPH4011SK3","DMPH4011SK3")</f>
        <v>DMPH4011SK3</v>
      </c>
      <c r="B1269" t="str">
        <f>Hyperlink("https://www.diodes.com/assets/Datasheets/DMPH4011SK3.pdf","DMPH4011SK3 Datasheet")</f>
        <v>DMPH4011SK3 Datasheet</v>
      </c>
      <c r="C1269" t="s">
        <v>887</v>
      </c>
      <c r="D1269" t="s">
        <v>25</v>
      </c>
      <c r="E1269" t="s">
        <v>26</v>
      </c>
      <c r="F1269" t="s">
        <v>52</v>
      </c>
      <c r="G1269" t="s">
        <v>28</v>
      </c>
      <c r="H1269">
        <v>40</v>
      </c>
      <c r="I1269">
        <v>20</v>
      </c>
      <c r="K1269">
        <v>79</v>
      </c>
      <c r="L1269">
        <v>3.7</v>
      </c>
      <c r="N1269">
        <v>11</v>
      </c>
      <c r="O1269">
        <v>19</v>
      </c>
      <c r="S1269">
        <v>2.5</v>
      </c>
      <c r="V1269">
        <v>4497</v>
      </c>
      <c r="W1269">
        <v>20</v>
      </c>
      <c r="X1269" t="s">
        <v>507</v>
      </c>
    </row>
    <row r="1270" spans="1:24">
      <c r="A1270" t="str">
        <f>Hyperlink("https://www.diodes.com/part/view/DMPH4011SK3Q","DMPH4011SK3Q")</f>
        <v>DMPH4011SK3Q</v>
      </c>
      <c r="B1270" t="str">
        <f>Hyperlink("https://www.diodes.com/assets/Datasheets/DMPH4011SK3Q.pdf","DMPH4011SK3Q Datasheet")</f>
        <v>DMPH4011SK3Q Datasheet</v>
      </c>
      <c r="C1270" t="s">
        <v>887</v>
      </c>
      <c r="D1270" t="s">
        <v>25</v>
      </c>
      <c r="E1270" t="s">
        <v>33</v>
      </c>
      <c r="F1270" t="s">
        <v>52</v>
      </c>
      <c r="G1270" t="s">
        <v>28</v>
      </c>
      <c r="H1270">
        <v>40</v>
      </c>
      <c r="I1270">
        <v>20</v>
      </c>
      <c r="K1270">
        <v>79</v>
      </c>
      <c r="L1270">
        <v>3.7</v>
      </c>
      <c r="M1270">
        <v>115</v>
      </c>
      <c r="N1270">
        <v>11</v>
      </c>
      <c r="O1270">
        <v>19</v>
      </c>
      <c r="S1270">
        <v>2.5</v>
      </c>
      <c r="V1270">
        <v>4497</v>
      </c>
      <c r="W1270">
        <v>20</v>
      </c>
      <c r="X1270" t="s">
        <v>507</v>
      </c>
    </row>
    <row r="1271" spans="1:24">
      <c r="A1271" t="str">
        <f>Hyperlink("https://www.diodes.com/part/view/DMPH4013SK3","DMPH4013SK3")</f>
        <v>DMPH4013SK3</v>
      </c>
      <c r="B1271" t="str">
        <f>Hyperlink("https://www.diodes.com/assets/Datasheets/DMPH4013SK3.pdf","DMPH4013SK3 Datasheet")</f>
        <v>DMPH4013SK3 Datasheet</v>
      </c>
      <c r="C1271" t="s">
        <v>51</v>
      </c>
      <c r="D1271" t="s">
        <v>25</v>
      </c>
      <c r="E1271" t="s">
        <v>26</v>
      </c>
      <c r="F1271" t="s">
        <v>52</v>
      </c>
      <c r="G1271" t="s">
        <v>28</v>
      </c>
      <c r="H1271">
        <v>40</v>
      </c>
      <c r="I1271">
        <v>20</v>
      </c>
      <c r="K1271">
        <v>55</v>
      </c>
      <c r="L1271">
        <v>3.7</v>
      </c>
      <c r="N1271">
        <v>15</v>
      </c>
      <c r="O1271">
        <v>23</v>
      </c>
      <c r="S1271">
        <v>3</v>
      </c>
      <c r="T1271">
        <v>31</v>
      </c>
      <c r="U1271">
        <v>67</v>
      </c>
      <c r="V1271">
        <v>4004</v>
      </c>
      <c r="W1271">
        <v>20</v>
      </c>
      <c r="X1271" t="s">
        <v>507</v>
      </c>
    </row>
    <row r="1272" spans="1:24">
      <c r="A1272" t="str">
        <f>Hyperlink("https://www.diodes.com/part/view/DMPH4013SK3Q","DMPH4013SK3Q")</f>
        <v>DMPH4013SK3Q</v>
      </c>
      <c r="B1272" t="str">
        <f>Hyperlink("https://www.diodes.com/assets/Datasheets/DMPH4013SK3Q.pdf","DMPH4013SK3Q Datasheet")</f>
        <v>DMPH4013SK3Q Datasheet</v>
      </c>
      <c r="C1272" t="s">
        <v>883</v>
      </c>
      <c r="D1272" t="s">
        <v>25</v>
      </c>
      <c r="E1272" t="s">
        <v>33</v>
      </c>
      <c r="F1272" t="s">
        <v>52</v>
      </c>
      <c r="G1272" t="s">
        <v>28</v>
      </c>
      <c r="H1272">
        <v>40</v>
      </c>
      <c r="I1272">
        <v>20</v>
      </c>
      <c r="K1272">
        <v>55</v>
      </c>
      <c r="L1272">
        <v>3.7</v>
      </c>
      <c r="N1272">
        <v>15</v>
      </c>
      <c r="O1272">
        <v>23</v>
      </c>
      <c r="S1272">
        <v>3</v>
      </c>
      <c r="T1272">
        <v>31</v>
      </c>
      <c r="U1272">
        <v>67</v>
      </c>
      <c r="V1272">
        <v>4004</v>
      </c>
      <c r="W1272">
        <v>20</v>
      </c>
      <c r="X1272" t="s">
        <v>507</v>
      </c>
    </row>
    <row r="1273" spans="1:24">
      <c r="A1273" t="str">
        <f>Hyperlink("https://www.diodes.com/part/view/DMPH4013SPSQ","DMPH4013SPSQ")</f>
        <v>DMPH4013SPSQ</v>
      </c>
      <c r="B1273" t="str">
        <f>Hyperlink("https://www.diodes.com/assets/Datasheets/DMPH4013SPSQ.pdf","DMPH4013SPSQ Datasheet")</f>
        <v>DMPH4013SPSQ Datasheet</v>
      </c>
      <c r="C1273" t="s">
        <v>888</v>
      </c>
      <c r="D1273" t="s">
        <v>25</v>
      </c>
      <c r="E1273" t="s">
        <v>33</v>
      </c>
      <c r="F1273" t="s">
        <v>52</v>
      </c>
      <c r="G1273" t="s">
        <v>28</v>
      </c>
      <c r="H1273">
        <v>40</v>
      </c>
      <c r="I1273">
        <v>20</v>
      </c>
      <c r="K1273">
        <v>69</v>
      </c>
      <c r="L1273">
        <v>3.3</v>
      </c>
      <c r="N1273">
        <v>13</v>
      </c>
      <c r="O1273">
        <v>23</v>
      </c>
      <c r="S1273">
        <v>3</v>
      </c>
      <c r="T1273">
        <v>39</v>
      </c>
      <c r="U1273">
        <v>87</v>
      </c>
      <c r="V1273">
        <v>4767</v>
      </c>
      <c r="W1273">
        <v>20</v>
      </c>
      <c r="X1273" t="s">
        <v>617</v>
      </c>
    </row>
    <row r="1274" spans="1:24">
      <c r="A1274" t="str">
        <f>Hyperlink("https://www.diodes.com/part/view/DMPH4013SPSWQ","DMPH4013SPSWQ")</f>
        <v>DMPH4013SPSWQ</v>
      </c>
      <c r="B1274" t="str">
        <f>Hyperlink("https://www.diodes.com/assets/Datasheets/DMPH4013SPSWQ.pdf","DMPH4013SPSWQ Datasheet")</f>
        <v>DMPH4013SPSWQ Datasheet</v>
      </c>
      <c r="C1274" t="s">
        <v>889</v>
      </c>
      <c r="D1274" t="s">
        <v>25</v>
      </c>
      <c r="E1274" t="s">
        <v>33</v>
      </c>
      <c r="F1274" t="s">
        <v>52</v>
      </c>
      <c r="G1274" t="s">
        <v>28</v>
      </c>
      <c r="H1274">
        <v>40</v>
      </c>
      <c r="I1274">
        <v>20</v>
      </c>
      <c r="K1274">
        <v>69</v>
      </c>
      <c r="L1274">
        <v>3.3</v>
      </c>
      <c r="N1274">
        <v>13</v>
      </c>
      <c r="O1274">
        <v>23</v>
      </c>
      <c r="R1274">
        <v>1</v>
      </c>
      <c r="S1274">
        <v>3</v>
      </c>
      <c r="T1274">
        <v>39</v>
      </c>
      <c r="U1274">
        <v>87</v>
      </c>
      <c r="V1274">
        <v>4763</v>
      </c>
      <c r="W1274">
        <v>20</v>
      </c>
      <c r="X1274" t="s">
        <v>757</v>
      </c>
    </row>
    <row r="1275" spans="1:24">
      <c r="A1275" t="str">
        <f>Hyperlink("https://www.diodes.com/part/view/DMPH4015SK3Q","DMPH4015SK3Q")</f>
        <v>DMPH4015SK3Q</v>
      </c>
      <c r="B1275" t="str">
        <f>Hyperlink("https://www.diodes.com/assets/Datasheets/DMPH4015SK3Q.pdf","DMPH4015SK3Q Datasheet")</f>
        <v>DMPH4015SK3Q Datasheet</v>
      </c>
      <c r="C1275" t="s">
        <v>883</v>
      </c>
      <c r="D1275" t="s">
        <v>25</v>
      </c>
      <c r="E1275" t="s">
        <v>33</v>
      </c>
      <c r="F1275" t="s">
        <v>52</v>
      </c>
      <c r="G1275" t="s">
        <v>28</v>
      </c>
      <c r="H1275">
        <v>40</v>
      </c>
      <c r="I1275">
        <v>25</v>
      </c>
      <c r="J1275">
        <v>14</v>
      </c>
      <c r="L1275">
        <v>3.3</v>
      </c>
      <c r="N1275">
        <v>11</v>
      </c>
      <c r="O1275">
        <v>5</v>
      </c>
      <c r="S1275">
        <v>2.5</v>
      </c>
      <c r="T1275">
        <v>42.7</v>
      </c>
      <c r="U1275">
        <v>91</v>
      </c>
      <c r="X1275" t="s">
        <v>507</v>
      </c>
    </row>
    <row r="1276" spans="1:24">
      <c r="A1276" t="str">
        <f>Hyperlink("https://www.diodes.com/part/view/DMPH4015SPSQ","DMPH4015SPSQ")</f>
        <v>DMPH4015SPSQ</v>
      </c>
      <c r="B1276" t="str">
        <f>Hyperlink("https://www.diodes.com/assets/Datasheets/DMPH4015SPSQ.pdf","DMPH4015SPSQ Datasheet")</f>
        <v>DMPH4015SPSQ Datasheet</v>
      </c>
      <c r="C1276" t="s">
        <v>883</v>
      </c>
      <c r="D1276" t="s">
        <v>25</v>
      </c>
      <c r="E1276" t="s">
        <v>33</v>
      </c>
      <c r="F1276" t="s">
        <v>52</v>
      </c>
      <c r="G1276" t="s">
        <v>28</v>
      </c>
      <c r="H1276">
        <v>40</v>
      </c>
      <c r="I1276">
        <v>25</v>
      </c>
      <c r="J1276">
        <v>12</v>
      </c>
      <c r="L1276">
        <v>2.6</v>
      </c>
      <c r="N1276">
        <v>10</v>
      </c>
      <c r="O1276">
        <v>14</v>
      </c>
      <c r="S1276">
        <v>2.5</v>
      </c>
      <c r="T1276">
        <v>42.7</v>
      </c>
      <c r="U1276">
        <v>91</v>
      </c>
      <c r="W1276">
        <v>20</v>
      </c>
      <c r="X1276" t="s">
        <v>617</v>
      </c>
    </row>
    <row r="1277" spans="1:24">
      <c r="A1277" t="str">
        <f>Hyperlink("https://www.diodes.com/part/view/DMPH4015SSSQ","DMPH4015SSSQ")</f>
        <v>DMPH4015SSSQ</v>
      </c>
      <c r="B1277" t="str">
        <f>Hyperlink("https://www.diodes.com/assets/Datasheets/DMPH4015SSSQ.pdf","DMPH4015SSSQ Datasheet")</f>
        <v>DMPH4015SSSQ Datasheet</v>
      </c>
      <c r="C1277" t="s">
        <v>51</v>
      </c>
      <c r="D1277" t="s">
        <v>25</v>
      </c>
      <c r="E1277" t="s">
        <v>33</v>
      </c>
      <c r="F1277" t="s">
        <v>52</v>
      </c>
      <c r="G1277" t="s">
        <v>28</v>
      </c>
      <c r="H1277">
        <v>40</v>
      </c>
      <c r="I1277">
        <v>25</v>
      </c>
      <c r="J1277">
        <v>11.4</v>
      </c>
      <c r="L1277">
        <v>1.8</v>
      </c>
      <c r="N1277">
        <v>11</v>
      </c>
      <c r="O1277">
        <v>15</v>
      </c>
      <c r="S1277">
        <v>2.5</v>
      </c>
      <c r="T1277">
        <v>42.7</v>
      </c>
      <c r="U1277">
        <v>91</v>
      </c>
      <c r="X1277" t="s">
        <v>155</v>
      </c>
    </row>
    <row r="1278" spans="1:24">
      <c r="A1278" t="str">
        <f>Hyperlink("https://www.diodes.com/part/view/DMPH4016SK3","DMPH4016SK3")</f>
        <v>DMPH4016SK3</v>
      </c>
      <c r="B1278" t="str">
        <f>Hyperlink("https://www.diodes.com/assets/Datasheets/DMPH4016SK3.pdf","DMPH4016SK3 Datasheet")</f>
        <v>DMPH4016SK3 Datasheet</v>
      </c>
      <c r="C1278" t="s">
        <v>890</v>
      </c>
      <c r="D1278" t="s">
        <v>28</v>
      </c>
      <c r="E1278" t="s">
        <v>26</v>
      </c>
      <c r="F1278" t="s">
        <v>52</v>
      </c>
      <c r="G1278" t="s">
        <v>28</v>
      </c>
      <c r="H1278">
        <v>40</v>
      </c>
      <c r="I1278">
        <v>20</v>
      </c>
      <c r="K1278">
        <v>80</v>
      </c>
      <c r="L1278">
        <v>4.9</v>
      </c>
      <c r="M1278">
        <v>136</v>
      </c>
      <c r="N1278">
        <v>11</v>
      </c>
      <c r="O1278">
        <v>15</v>
      </c>
      <c r="R1278">
        <v>1.5</v>
      </c>
      <c r="S1278">
        <v>2.5</v>
      </c>
      <c r="T1278">
        <v>53</v>
      </c>
      <c r="U1278">
        <v>112</v>
      </c>
      <c r="V1278">
        <v>5697</v>
      </c>
      <c r="W1278">
        <v>20</v>
      </c>
      <c r="X1278" t="s">
        <v>507</v>
      </c>
    </row>
    <row r="1279" spans="1:24">
      <c r="A1279" t="str">
        <f>Hyperlink("https://www.diodes.com/part/view/DMPH4016SK3Q","DMPH4016SK3Q")</f>
        <v>DMPH4016SK3Q</v>
      </c>
      <c r="B1279" t="str">
        <f>Hyperlink("https://www.diodes.com/assets/Datasheets/DMPH4016SK3Q.pdf","DMPH4016SK3Q Datasheet")</f>
        <v>DMPH4016SK3Q Datasheet</v>
      </c>
      <c r="C1279" t="s">
        <v>890</v>
      </c>
      <c r="D1279" t="s">
        <v>25</v>
      </c>
      <c r="E1279" t="s">
        <v>33</v>
      </c>
      <c r="F1279" t="s">
        <v>52</v>
      </c>
      <c r="G1279" t="s">
        <v>28</v>
      </c>
      <c r="H1279">
        <v>40</v>
      </c>
      <c r="I1279">
        <v>20</v>
      </c>
      <c r="K1279">
        <v>80</v>
      </c>
      <c r="L1279">
        <v>4.9</v>
      </c>
      <c r="M1279">
        <v>136</v>
      </c>
      <c r="N1279">
        <v>11</v>
      </c>
      <c r="O1279">
        <v>15</v>
      </c>
      <c r="R1279">
        <v>1.5</v>
      </c>
      <c r="S1279">
        <v>2.5</v>
      </c>
      <c r="T1279">
        <v>53</v>
      </c>
      <c r="U1279">
        <v>112</v>
      </c>
      <c r="V1279">
        <v>5697</v>
      </c>
      <c r="W1279">
        <v>20</v>
      </c>
      <c r="X1279" t="s">
        <v>507</v>
      </c>
    </row>
    <row r="1280" spans="1:24">
      <c r="A1280" t="str">
        <f>Hyperlink("https://www.diodes.com/part/view/DMPH4016SPSW","DMPH4016SPSW")</f>
        <v>DMPH4016SPSW</v>
      </c>
      <c r="B1280" t="str">
        <f>Hyperlink("https://www.diodes.com/assets/Datasheets/DMPH4016SPSW.pdf","DMPH4016SPSW Datasheet")</f>
        <v>DMPH4016SPSW Datasheet</v>
      </c>
      <c r="C1280" t="s">
        <v>885</v>
      </c>
      <c r="D1280" t="s">
        <v>28</v>
      </c>
      <c r="E1280" t="s">
        <v>26</v>
      </c>
      <c r="F1280" t="s">
        <v>52</v>
      </c>
      <c r="G1280" t="s">
        <v>28</v>
      </c>
      <c r="H1280">
        <v>40</v>
      </c>
      <c r="I1280">
        <v>20</v>
      </c>
      <c r="K1280">
        <v>90.7</v>
      </c>
      <c r="L1280">
        <v>4.6</v>
      </c>
      <c r="M1280">
        <v>143</v>
      </c>
      <c r="N1280">
        <v>10</v>
      </c>
      <c r="O1280">
        <v>14</v>
      </c>
      <c r="R1280">
        <v>1.5</v>
      </c>
      <c r="S1280">
        <v>2.5</v>
      </c>
      <c r="T1280">
        <v>53</v>
      </c>
      <c r="U1280">
        <v>112</v>
      </c>
      <c r="V1280">
        <v>5697</v>
      </c>
      <c r="W1280">
        <v>20</v>
      </c>
      <c r="X1280" t="s">
        <v>757</v>
      </c>
    </row>
    <row r="1281" spans="1:24">
      <c r="A1281" t="str">
        <f>Hyperlink("https://www.diodes.com/part/view/DMPH4016SPSWQ","DMPH4016SPSWQ")</f>
        <v>DMPH4016SPSWQ</v>
      </c>
      <c r="B1281" t="str">
        <f>Hyperlink("https://www.diodes.com/assets/Datasheets/DMPH4016SPSWQ.pdf","DMPH4016SPSWQ Datasheet")</f>
        <v>DMPH4016SPSWQ Datasheet</v>
      </c>
      <c r="C1281" t="s">
        <v>886</v>
      </c>
      <c r="D1281" t="s">
        <v>25</v>
      </c>
      <c r="E1281" t="s">
        <v>33</v>
      </c>
      <c r="F1281" t="s">
        <v>52</v>
      </c>
      <c r="G1281" t="s">
        <v>28</v>
      </c>
      <c r="H1281">
        <v>40</v>
      </c>
      <c r="I1281">
        <v>20</v>
      </c>
      <c r="K1281">
        <v>90.7</v>
      </c>
      <c r="L1281">
        <v>4.6</v>
      </c>
      <c r="M1281">
        <v>143</v>
      </c>
      <c r="N1281">
        <v>10</v>
      </c>
      <c r="O1281">
        <v>14</v>
      </c>
      <c r="R1281">
        <v>1.5</v>
      </c>
      <c r="S1281">
        <v>2.5</v>
      </c>
      <c r="T1281">
        <v>53</v>
      </c>
      <c r="U1281">
        <v>112</v>
      </c>
      <c r="V1281">
        <v>5697</v>
      </c>
      <c r="W1281">
        <v>20</v>
      </c>
      <c r="X1281" t="s">
        <v>757</v>
      </c>
    </row>
    <row r="1282" spans="1:24">
      <c r="A1282" t="str">
        <f>Hyperlink("https://www.diodes.com/part/view/DMPH4016SSS","DMPH4016SSS")</f>
        <v>DMPH4016SSS</v>
      </c>
      <c r="B1282" t="str">
        <f>Hyperlink("https://www.diodes.com/assets/Datasheets/DMPH4016SSS.pdf","DMPH4016SSS Datasheet")</f>
        <v>DMPH4016SSS Datasheet</v>
      </c>
      <c r="C1282" t="s">
        <v>885</v>
      </c>
      <c r="D1282" t="s">
        <v>28</v>
      </c>
      <c r="E1282" t="s">
        <v>26</v>
      </c>
      <c r="F1282" t="s">
        <v>52</v>
      </c>
      <c r="G1282" t="s">
        <v>28</v>
      </c>
      <c r="H1282">
        <v>40</v>
      </c>
      <c r="I1282">
        <v>20</v>
      </c>
      <c r="J1282">
        <v>11</v>
      </c>
      <c r="L1282">
        <v>2.5</v>
      </c>
      <c r="N1282">
        <v>11</v>
      </c>
      <c r="O1282">
        <v>15</v>
      </c>
      <c r="R1282">
        <v>1.5</v>
      </c>
      <c r="S1282">
        <v>2.5</v>
      </c>
      <c r="T1282">
        <v>53</v>
      </c>
      <c r="U1282">
        <v>112</v>
      </c>
      <c r="V1282">
        <v>5697</v>
      </c>
      <c r="W1282">
        <v>20</v>
      </c>
      <c r="X1282" t="s">
        <v>155</v>
      </c>
    </row>
    <row r="1283" spans="1:24">
      <c r="A1283" t="str">
        <f>Hyperlink("https://www.diodes.com/part/view/DMPH4016SSSQ","DMPH4016SSSQ")</f>
        <v>DMPH4016SSSQ</v>
      </c>
      <c r="B1283" t="str">
        <f>Hyperlink("https://www.diodes.com/assets/Datasheets/DMPH4016SSSQ.pdf","DMPH4016SSSQ Datasheet")</f>
        <v>DMPH4016SSSQ Datasheet</v>
      </c>
      <c r="C1283" t="s">
        <v>886</v>
      </c>
      <c r="D1283" t="s">
        <v>25</v>
      </c>
      <c r="E1283" t="s">
        <v>33</v>
      </c>
      <c r="F1283" t="s">
        <v>52</v>
      </c>
      <c r="G1283" t="s">
        <v>28</v>
      </c>
      <c r="H1283">
        <v>40</v>
      </c>
      <c r="I1283">
        <v>20</v>
      </c>
      <c r="J1283">
        <v>11</v>
      </c>
      <c r="L1283">
        <v>2.5</v>
      </c>
      <c r="N1283">
        <v>11</v>
      </c>
      <c r="O1283">
        <v>15</v>
      </c>
      <c r="R1283">
        <v>1.5</v>
      </c>
      <c r="S1283">
        <v>2.5</v>
      </c>
      <c r="T1283">
        <v>53</v>
      </c>
      <c r="U1283">
        <v>112</v>
      </c>
      <c r="V1283">
        <v>5697</v>
      </c>
      <c r="W1283">
        <v>20</v>
      </c>
      <c r="X1283" t="s">
        <v>155</v>
      </c>
    </row>
    <row r="1284" spans="1:24">
      <c r="A1284" t="str">
        <f>Hyperlink("https://www.diodes.com/part/view/DMPH4023SK3","DMPH4023SK3")</f>
        <v>DMPH4023SK3</v>
      </c>
      <c r="B1284" t="str">
        <f>Hyperlink("https://www.diodes.com/assets/Datasheets/DMPH4023SK3.pdf","DMPH4023SK3 Datasheet")</f>
        <v>DMPH4023SK3 Datasheet</v>
      </c>
      <c r="C1284" t="s">
        <v>891</v>
      </c>
      <c r="D1284" t="s">
        <v>25</v>
      </c>
      <c r="E1284" t="s">
        <v>26</v>
      </c>
      <c r="F1284" t="s">
        <v>52</v>
      </c>
      <c r="G1284" t="s">
        <v>28</v>
      </c>
      <c r="H1284">
        <v>40</v>
      </c>
      <c r="I1284">
        <v>20</v>
      </c>
      <c r="K1284">
        <v>50</v>
      </c>
      <c r="L1284">
        <v>3.6</v>
      </c>
      <c r="N1284">
        <v>26</v>
      </c>
      <c r="S1284">
        <v>3</v>
      </c>
      <c r="U1284">
        <v>18.7</v>
      </c>
      <c r="V1284">
        <v>1091</v>
      </c>
      <c r="W1284">
        <v>20</v>
      </c>
      <c r="X1284" t="s">
        <v>507</v>
      </c>
    </row>
    <row r="1285" spans="1:24">
      <c r="A1285" t="str">
        <f>Hyperlink("https://www.diodes.com/part/view/DMPH4023SK3Q","DMPH4023SK3Q")</f>
        <v>DMPH4023SK3Q</v>
      </c>
      <c r="B1285" t="str">
        <f>Hyperlink("https://www.diodes.com/assets/Datasheets/DMPH4023SK3Q.pdf","DMPH4023SK3Q Datasheet")</f>
        <v>DMPH4023SK3Q Datasheet</v>
      </c>
      <c r="C1285" t="s">
        <v>891</v>
      </c>
      <c r="D1285" t="s">
        <v>25</v>
      </c>
      <c r="E1285" t="s">
        <v>33</v>
      </c>
      <c r="F1285" t="s">
        <v>52</v>
      </c>
      <c r="G1285" t="s">
        <v>28</v>
      </c>
      <c r="H1285">
        <v>40</v>
      </c>
      <c r="I1285">
        <v>20</v>
      </c>
      <c r="K1285">
        <v>50</v>
      </c>
      <c r="L1285">
        <v>3.6</v>
      </c>
      <c r="N1285">
        <v>26</v>
      </c>
      <c r="S1285">
        <v>3</v>
      </c>
      <c r="U1285">
        <v>18.7</v>
      </c>
      <c r="V1285">
        <v>1091</v>
      </c>
      <c r="W1285">
        <v>20</v>
      </c>
      <c r="X1285" t="s">
        <v>507</v>
      </c>
    </row>
    <row r="1286" spans="1:24">
      <c r="A1286" t="str">
        <f>Hyperlink("https://www.diodes.com/part/view/DMPH4023SPDWQ","DMPH4023SPDWQ")</f>
        <v>DMPH4023SPDWQ</v>
      </c>
      <c r="B1286" t="str">
        <f>Hyperlink("https://www.diodes.com/assets/Datasheets/DMPH4023SPDWQ.pdf","DMPH4023SPDWQ Datasheet")</f>
        <v>DMPH4023SPDWQ Datasheet</v>
      </c>
      <c r="C1286" t="s">
        <v>892</v>
      </c>
      <c r="D1286" t="s">
        <v>25</v>
      </c>
      <c r="E1286" t="s">
        <v>33</v>
      </c>
      <c r="F1286" t="s">
        <v>78</v>
      </c>
      <c r="G1286" t="s">
        <v>28</v>
      </c>
      <c r="H1286">
        <v>40</v>
      </c>
      <c r="I1286">
        <v>20</v>
      </c>
      <c r="K1286">
        <v>27</v>
      </c>
      <c r="L1286">
        <v>3.1</v>
      </c>
      <c r="N1286">
        <v>26</v>
      </c>
      <c r="R1286">
        <v>1</v>
      </c>
      <c r="S1286">
        <v>3</v>
      </c>
      <c r="U1286">
        <v>18.7</v>
      </c>
      <c r="V1286">
        <v>1091</v>
      </c>
      <c r="W1286">
        <v>20</v>
      </c>
      <c r="X1286" t="s">
        <v>115</v>
      </c>
    </row>
    <row r="1287" spans="1:24">
      <c r="A1287" t="str">
        <f>Hyperlink("https://www.diodes.com/part/view/DMPH4025SFVWQ","DMPH4025SFVWQ")</f>
        <v>DMPH4025SFVWQ</v>
      </c>
      <c r="B1287" t="str">
        <f>Hyperlink("https://www.diodes.com/assets/Datasheets/DMPH4025SFVWQ.pdf","DMPH4025SFVWQ Datasheet")</f>
        <v>DMPH4025SFVWQ Datasheet</v>
      </c>
      <c r="C1287" t="s">
        <v>891</v>
      </c>
      <c r="D1287" t="s">
        <v>25</v>
      </c>
      <c r="E1287" t="s">
        <v>33</v>
      </c>
      <c r="F1287" t="s">
        <v>52</v>
      </c>
      <c r="G1287" t="s">
        <v>28</v>
      </c>
      <c r="H1287">
        <v>40</v>
      </c>
      <c r="I1287">
        <v>20</v>
      </c>
      <c r="J1287">
        <v>8.7</v>
      </c>
      <c r="L1287">
        <v>2.3</v>
      </c>
      <c r="N1287">
        <v>25</v>
      </c>
      <c r="O1287">
        <v>45</v>
      </c>
      <c r="S1287">
        <v>1.8</v>
      </c>
      <c r="T1287">
        <v>19.6</v>
      </c>
      <c r="U1287">
        <v>38.6</v>
      </c>
      <c r="W1287">
        <v>20</v>
      </c>
      <c r="X1287" t="s">
        <v>655</v>
      </c>
    </row>
    <row r="1288" spans="1:24">
      <c r="A1288" t="str">
        <f>Hyperlink("https://www.diodes.com/part/view/DMPH4026SFVW","DMPH4026SFVW")</f>
        <v>DMPH4026SFVW</v>
      </c>
      <c r="B1288" t="str">
        <f>Hyperlink("https://www.diodes.com/assets/Datasheets/DMPH4026SFVW.pdf","DMPH4026SFVW Datasheet")</f>
        <v>DMPH4026SFVW Datasheet</v>
      </c>
      <c r="C1288" t="s">
        <v>885</v>
      </c>
      <c r="D1288" t="s">
        <v>28</v>
      </c>
      <c r="E1288" t="s">
        <v>26</v>
      </c>
      <c r="F1288" t="s">
        <v>52</v>
      </c>
      <c r="G1288" t="s">
        <v>28</v>
      </c>
      <c r="H1288">
        <v>40</v>
      </c>
      <c r="I1288">
        <v>20</v>
      </c>
      <c r="J1288">
        <v>9.3</v>
      </c>
      <c r="K1288">
        <v>52</v>
      </c>
      <c r="L1288">
        <v>3.9</v>
      </c>
      <c r="N1288">
        <v>25</v>
      </c>
      <c r="O1288">
        <v>45</v>
      </c>
      <c r="R1288">
        <v>0.8</v>
      </c>
      <c r="S1288">
        <v>1.8</v>
      </c>
      <c r="T1288">
        <v>23.5</v>
      </c>
      <c r="U1288">
        <v>45.8</v>
      </c>
      <c r="V1288">
        <v>2064</v>
      </c>
      <c r="W1288">
        <v>20</v>
      </c>
      <c r="X1288" t="s">
        <v>655</v>
      </c>
    </row>
    <row r="1289" spans="1:24">
      <c r="A1289" t="str">
        <f>Hyperlink("https://www.diodes.com/part/view/DMPH4026SFVWQ","DMPH4026SFVWQ")</f>
        <v>DMPH4026SFVWQ</v>
      </c>
      <c r="B1289" t="str">
        <f>Hyperlink("https://www.diodes.com/assets/Datasheets/DMPH4026SFVWQ.pdf","DMPH4026SFVWQ Datasheet")</f>
        <v>DMPH4026SFVWQ Datasheet</v>
      </c>
      <c r="C1289" t="s">
        <v>885</v>
      </c>
      <c r="D1289" t="s">
        <v>25</v>
      </c>
      <c r="E1289" t="s">
        <v>33</v>
      </c>
      <c r="F1289" t="s">
        <v>52</v>
      </c>
      <c r="G1289" t="s">
        <v>28</v>
      </c>
      <c r="H1289">
        <v>40</v>
      </c>
      <c r="I1289">
        <v>20</v>
      </c>
      <c r="J1289">
        <v>9.3</v>
      </c>
      <c r="K1289">
        <v>52</v>
      </c>
      <c r="L1289">
        <v>3.9</v>
      </c>
      <c r="N1289">
        <v>25</v>
      </c>
      <c r="O1289">
        <v>45</v>
      </c>
      <c r="R1289">
        <v>0.8</v>
      </c>
      <c r="S1289">
        <v>1.8</v>
      </c>
      <c r="T1289">
        <v>23.5</v>
      </c>
      <c r="U1289">
        <v>45.8</v>
      </c>
      <c r="V1289">
        <v>2064</v>
      </c>
      <c r="W1289">
        <v>20</v>
      </c>
      <c r="X1289" t="s">
        <v>655</v>
      </c>
    </row>
    <row r="1290" spans="1:24">
      <c r="A1290" t="str">
        <f>Hyperlink("https://www.diodes.com/part/view/DMPH4029LFG","DMPH4029LFG")</f>
        <v>DMPH4029LFG</v>
      </c>
      <c r="B1290" t="str">
        <f>Hyperlink("https://www.diodes.com/assets/Datasheets/DMPH4029LFG.pdf","DMPH4029LFG Datasheet")</f>
        <v>DMPH4029LFG Datasheet</v>
      </c>
      <c r="C1290" t="s">
        <v>891</v>
      </c>
      <c r="D1290" t="s">
        <v>25</v>
      </c>
      <c r="E1290" t="s">
        <v>26</v>
      </c>
      <c r="F1290" t="s">
        <v>52</v>
      </c>
      <c r="G1290" t="s">
        <v>28</v>
      </c>
      <c r="H1290">
        <v>40</v>
      </c>
      <c r="I1290">
        <v>20</v>
      </c>
      <c r="J1290">
        <v>8</v>
      </c>
      <c r="L1290">
        <v>2.8</v>
      </c>
      <c r="N1290">
        <v>29</v>
      </c>
      <c r="O1290">
        <v>45</v>
      </c>
      <c r="S1290">
        <v>3</v>
      </c>
      <c r="T1290">
        <v>17</v>
      </c>
      <c r="U1290">
        <v>34</v>
      </c>
      <c r="V1290">
        <v>1626</v>
      </c>
      <c r="W1290">
        <v>20</v>
      </c>
      <c r="X1290" t="s">
        <v>529</v>
      </c>
    </row>
    <row r="1291" spans="1:24">
      <c r="A1291" t="str">
        <f>Hyperlink("https://www.diodes.com/part/view/DMPH4029LFGQ","DMPH4029LFGQ")</f>
        <v>DMPH4029LFGQ</v>
      </c>
      <c r="B1291" t="str">
        <f>Hyperlink("https://www.diodes.com/assets/Datasheets/DMPH4029LFGQ.pdf","DMPH4029LFGQ Datasheet")</f>
        <v>DMPH4029LFGQ Datasheet</v>
      </c>
      <c r="C1291" t="s">
        <v>891</v>
      </c>
      <c r="D1291" t="s">
        <v>25</v>
      </c>
      <c r="E1291" t="s">
        <v>33</v>
      </c>
      <c r="F1291" t="s">
        <v>52</v>
      </c>
      <c r="G1291" t="s">
        <v>28</v>
      </c>
      <c r="H1291">
        <v>40</v>
      </c>
      <c r="I1291">
        <v>20</v>
      </c>
      <c r="J1291">
        <v>8</v>
      </c>
      <c r="L1291">
        <v>2.8</v>
      </c>
      <c r="N1291">
        <v>29</v>
      </c>
      <c r="O1291">
        <v>45</v>
      </c>
      <c r="S1291">
        <v>3</v>
      </c>
      <c r="T1291">
        <v>17</v>
      </c>
      <c r="U1291">
        <v>34</v>
      </c>
      <c r="W1291">
        <v>20</v>
      </c>
      <c r="X1291" t="s">
        <v>529</v>
      </c>
    </row>
    <row r="1292" spans="1:24">
      <c r="A1292" t="str">
        <f>Hyperlink("https://www.diodes.com/part/view/DMPH6023SK3","DMPH6023SK3")</f>
        <v>DMPH6023SK3</v>
      </c>
      <c r="B1292" t="str">
        <f>Hyperlink("https://www.diodes.com/assets/Datasheets/DMPH6023SK3.pdf","DMPH6023SK3 Datasheet")</f>
        <v>DMPH6023SK3 Datasheet</v>
      </c>
      <c r="C1292" t="s">
        <v>51</v>
      </c>
      <c r="D1292" t="s">
        <v>25</v>
      </c>
      <c r="E1292" t="s">
        <v>26</v>
      </c>
      <c r="F1292" t="s">
        <v>52</v>
      </c>
      <c r="G1292" t="s">
        <v>28</v>
      </c>
      <c r="H1292">
        <v>60</v>
      </c>
      <c r="I1292">
        <v>20</v>
      </c>
      <c r="J1292">
        <v>7.3</v>
      </c>
      <c r="L1292">
        <v>3.2</v>
      </c>
      <c r="N1292">
        <v>33</v>
      </c>
      <c r="O1292">
        <v>40</v>
      </c>
      <c r="S1292">
        <v>3</v>
      </c>
      <c r="T1292">
        <v>26.5</v>
      </c>
      <c r="U1292">
        <v>53.1</v>
      </c>
      <c r="V1292">
        <v>2569</v>
      </c>
      <c r="W1292">
        <v>30</v>
      </c>
      <c r="X1292" t="s">
        <v>507</v>
      </c>
    </row>
    <row r="1293" spans="1:24">
      <c r="A1293" t="str">
        <f>Hyperlink("https://www.diodes.com/part/view/DMPH6023SK3Q","DMPH6023SK3Q")</f>
        <v>DMPH6023SK3Q</v>
      </c>
      <c r="B1293" t="str">
        <f>Hyperlink("https://www.diodes.com/assets/Datasheets/DMPH6023SK3Q.pdf","DMPH6023SK3Q Datasheet")</f>
        <v>DMPH6023SK3Q Datasheet</v>
      </c>
      <c r="C1293" t="s">
        <v>893</v>
      </c>
      <c r="D1293" t="s">
        <v>25</v>
      </c>
      <c r="E1293" t="s">
        <v>33</v>
      </c>
      <c r="F1293" t="s">
        <v>52</v>
      </c>
      <c r="G1293" t="s">
        <v>28</v>
      </c>
      <c r="H1293">
        <v>60</v>
      </c>
      <c r="I1293">
        <v>20</v>
      </c>
      <c r="J1293">
        <v>7.3</v>
      </c>
      <c r="L1293">
        <v>3.2</v>
      </c>
      <c r="N1293">
        <v>33</v>
      </c>
      <c r="O1293">
        <v>40</v>
      </c>
      <c r="S1293">
        <v>3</v>
      </c>
      <c r="T1293">
        <v>26.5</v>
      </c>
      <c r="U1293">
        <v>53.1</v>
      </c>
      <c r="W1293">
        <v>30</v>
      </c>
      <c r="X1293" t="s">
        <v>507</v>
      </c>
    </row>
    <row r="1294" spans="1:24">
      <c r="A1294" t="str">
        <f>Hyperlink("https://www.diodes.com/part/view/DMPH6050SFGQ","DMPH6050SFGQ")</f>
        <v>DMPH6050SFGQ</v>
      </c>
      <c r="B1294" t="str">
        <f>Hyperlink("https://www.diodes.com/assets/Datasheets/DMPH6050SFGQ.pdf","DMPH6050SFGQ Datasheet")</f>
        <v>DMPH6050SFGQ Datasheet</v>
      </c>
      <c r="C1294" t="s">
        <v>894</v>
      </c>
      <c r="D1294" t="s">
        <v>25</v>
      </c>
      <c r="E1294" t="s">
        <v>33</v>
      </c>
      <c r="F1294" t="s">
        <v>52</v>
      </c>
      <c r="G1294" t="s">
        <v>28</v>
      </c>
      <c r="H1294">
        <v>60</v>
      </c>
      <c r="I1294">
        <v>20</v>
      </c>
      <c r="J1294">
        <v>6.1</v>
      </c>
      <c r="L1294">
        <v>2.8</v>
      </c>
      <c r="N1294">
        <v>50</v>
      </c>
      <c r="O1294">
        <v>70</v>
      </c>
      <c r="S1294">
        <v>3</v>
      </c>
      <c r="T1294">
        <v>11.9</v>
      </c>
      <c r="U1294">
        <v>24.1</v>
      </c>
      <c r="W1294">
        <v>30</v>
      </c>
      <c r="X1294" t="s">
        <v>529</v>
      </c>
    </row>
    <row r="1295" spans="1:24">
      <c r="A1295" t="str">
        <f>Hyperlink("https://www.diodes.com/part/view/DMPH6050SK3","DMPH6050SK3")</f>
        <v>DMPH6050SK3</v>
      </c>
      <c r="B1295" t="str">
        <f>Hyperlink("https://www.diodes.com/assets/Datasheets/DMPH6050SK3.pdf","DMPH6050SK3 Datasheet")</f>
        <v>DMPH6050SK3 Datasheet</v>
      </c>
      <c r="C1295" t="s">
        <v>893</v>
      </c>
      <c r="D1295" t="s">
        <v>25</v>
      </c>
      <c r="E1295" t="s">
        <v>26</v>
      </c>
      <c r="F1295" t="s">
        <v>52</v>
      </c>
      <c r="G1295" t="s">
        <v>28</v>
      </c>
      <c r="H1295">
        <v>60</v>
      </c>
      <c r="I1295">
        <v>20</v>
      </c>
      <c r="J1295">
        <v>7.2</v>
      </c>
      <c r="L1295">
        <v>3.8</v>
      </c>
      <c r="N1295">
        <v>50</v>
      </c>
      <c r="O1295">
        <v>70</v>
      </c>
      <c r="S1295">
        <v>3</v>
      </c>
      <c r="T1295">
        <v>12</v>
      </c>
      <c r="U1295">
        <v>25</v>
      </c>
      <c r="V1295">
        <v>1377</v>
      </c>
      <c r="W1295">
        <v>30</v>
      </c>
      <c r="X1295" t="s">
        <v>507</v>
      </c>
    </row>
    <row r="1296" spans="1:24">
      <c r="A1296" t="str">
        <f>Hyperlink("https://www.diodes.com/part/view/DMPH6050SK3Q","DMPH6050SK3Q")</f>
        <v>DMPH6050SK3Q</v>
      </c>
      <c r="B1296" t="str">
        <f>Hyperlink("https://www.diodes.com/assets/Datasheets/DMPH6050SK3Q.pdf","DMPH6050SK3Q Datasheet")</f>
        <v>DMPH6050SK3Q Datasheet</v>
      </c>
      <c r="C1296" t="s">
        <v>893</v>
      </c>
      <c r="D1296" t="s">
        <v>25</v>
      </c>
      <c r="E1296" t="s">
        <v>33</v>
      </c>
      <c r="F1296" t="s">
        <v>52</v>
      </c>
      <c r="G1296" t="s">
        <v>28</v>
      </c>
      <c r="H1296">
        <v>60</v>
      </c>
      <c r="I1296">
        <v>20</v>
      </c>
      <c r="J1296">
        <v>7.2</v>
      </c>
      <c r="L1296">
        <v>3.8</v>
      </c>
      <c r="N1296">
        <v>50</v>
      </c>
      <c r="O1296">
        <v>70</v>
      </c>
      <c r="S1296">
        <v>3</v>
      </c>
      <c r="T1296">
        <v>12</v>
      </c>
      <c r="U1296">
        <v>25</v>
      </c>
      <c r="W1296">
        <v>30</v>
      </c>
      <c r="X1296" t="s">
        <v>507</v>
      </c>
    </row>
    <row r="1297" spans="1:24">
      <c r="A1297" t="str">
        <f>Hyperlink("https://www.diodes.com/part/view/DMPH6050SPD","DMPH6050SPD")</f>
        <v>DMPH6050SPD</v>
      </c>
      <c r="B1297" t="str">
        <f>Hyperlink("https://www.diodes.com/assets/Datasheets/DMPH6050SPD.pdf","DMPH6050SPD Datasheet")</f>
        <v>DMPH6050SPD Datasheet</v>
      </c>
      <c r="C1297" t="s">
        <v>895</v>
      </c>
      <c r="D1297" t="s">
        <v>25</v>
      </c>
      <c r="E1297" t="s">
        <v>26</v>
      </c>
      <c r="F1297" t="s">
        <v>78</v>
      </c>
      <c r="G1297" t="s">
        <v>28</v>
      </c>
      <c r="H1297">
        <v>60</v>
      </c>
      <c r="I1297">
        <v>20</v>
      </c>
      <c r="J1297">
        <v>6.3</v>
      </c>
      <c r="L1297">
        <v>2.8</v>
      </c>
      <c r="N1297">
        <v>48</v>
      </c>
      <c r="O1297">
        <v>60</v>
      </c>
      <c r="S1297">
        <v>3</v>
      </c>
      <c r="T1297">
        <v>14.5</v>
      </c>
      <c r="U1297">
        <v>30.6</v>
      </c>
      <c r="V1297">
        <v>1525</v>
      </c>
      <c r="W1297">
        <v>30</v>
      </c>
      <c r="X1297" t="s">
        <v>93</v>
      </c>
    </row>
    <row r="1298" spans="1:24">
      <c r="A1298" t="str">
        <f>Hyperlink("https://www.diodes.com/part/view/DMPH6050SPDQ","DMPH6050SPDQ")</f>
        <v>DMPH6050SPDQ</v>
      </c>
      <c r="B1298" t="str">
        <f>Hyperlink("https://www.diodes.com/assets/Datasheets/DMPH6050SPDQ.pdf","DMPH6050SPDQ Datasheet")</f>
        <v>DMPH6050SPDQ Datasheet</v>
      </c>
      <c r="C1298" t="s">
        <v>896</v>
      </c>
      <c r="D1298" t="s">
        <v>25</v>
      </c>
      <c r="E1298" t="s">
        <v>33</v>
      </c>
      <c r="F1298" t="s">
        <v>78</v>
      </c>
      <c r="G1298" t="s">
        <v>28</v>
      </c>
      <c r="H1298">
        <v>60</v>
      </c>
      <c r="I1298">
        <v>20</v>
      </c>
      <c r="J1298">
        <v>6.3</v>
      </c>
      <c r="L1298">
        <v>2.8</v>
      </c>
      <c r="N1298">
        <v>48</v>
      </c>
      <c r="O1298">
        <v>60</v>
      </c>
      <c r="S1298">
        <v>3</v>
      </c>
      <c r="T1298">
        <v>14.5</v>
      </c>
      <c r="U1298">
        <v>30.6</v>
      </c>
      <c r="W1298">
        <v>30</v>
      </c>
      <c r="X1298" t="s">
        <v>93</v>
      </c>
    </row>
    <row r="1299" spans="1:24">
      <c r="A1299" t="str">
        <f>Hyperlink("https://www.diodes.com/part/view/DMPH6050SPDWQ","DMPH6050SPDWQ")</f>
        <v>DMPH6050SPDWQ</v>
      </c>
      <c r="B1299" t="str">
        <f>Hyperlink("https://www.diodes.com/assets/Datasheets/DMPH6050SPDWQ.pdf","DMPH6050SPDWQ Datasheet")</f>
        <v>DMPH6050SPDWQ Datasheet</v>
      </c>
      <c r="C1299" t="s">
        <v>897</v>
      </c>
      <c r="D1299" t="s">
        <v>25</v>
      </c>
      <c r="E1299" t="s">
        <v>33</v>
      </c>
      <c r="F1299" t="s">
        <v>52</v>
      </c>
      <c r="G1299" t="s">
        <v>28</v>
      </c>
      <c r="H1299">
        <v>60</v>
      </c>
      <c r="I1299">
        <v>20</v>
      </c>
      <c r="J1299">
        <v>6.3</v>
      </c>
      <c r="K1299">
        <v>26</v>
      </c>
      <c r="L1299">
        <v>2.8</v>
      </c>
      <c r="N1299">
        <v>48</v>
      </c>
      <c r="O1299">
        <v>60</v>
      </c>
      <c r="R1299">
        <v>1</v>
      </c>
      <c r="S1299">
        <v>3</v>
      </c>
      <c r="T1299">
        <v>14.5</v>
      </c>
      <c r="U1299">
        <v>30.6</v>
      </c>
      <c r="V1299">
        <v>1525</v>
      </c>
      <c r="W1299">
        <v>30</v>
      </c>
      <c r="X1299" t="s">
        <v>115</v>
      </c>
    </row>
    <row r="1300" spans="1:24">
      <c r="A1300" t="str">
        <f>Hyperlink("https://www.diodes.com/part/view/DMPH6050SSD","DMPH6050SSD")</f>
        <v>DMPH6050SSD</v>
      </c>
      <c r="B1300" t="str">
        <f>Hyperlink("https://www.diodes.com/assets/Datasheets/DMPH6050SSD.pdf","DMPH6050SSD Datasheet")</f>
        <v>DMPH6050SSD Datasheet</v>
      </c>
      <c r="C1300" t="s">
        <v>895</v>
      </c>
      <c r="D1300" t="s">
        <v>25</v>
      </c>
      <c r="E1300" t="s">
        <v>26</v>
      </c>
      <c r="F1300" t="s">
        <v>78</v>
      </c>
      <c r="G1300" t="s">
        <v>28</v>
      </c>
      <c r="H1300">
        <v>60</v>
      </c>
      <c r="I1300">
        <v>20</v>
      </c>
      <c r="J1300">
        <v>5.2</v>
      </c>
      <c r="L1300">
        <v>2</v>
      </c>
      <c r="N1300">
        <v>48</v>
      </c>
      <c r="O1300">
        <v>60</v>
      </c>
      <c r="S1300">
        <v>3</v>
      </c>
      <c r="T1300">
        <v>14.5</v>
      </c>
      <c r="U1300">
        <v>30.6</v>
      </c>
      <c r="V1300">
        <v>1525</v>
      </c>
      <c r="W1300">
        <v>30</v>
      </c>
      <c r="X1300" t="s">
        <v>155</v>
      </c>
    </row>
    <row r="1301" spans="1:24">
      <c r="A1301" t="str">
        <f>Hyperlink("https://www.diodes.com/part/view/DMPH6050SSDQ","DMPH6050SSDQ")</f>
        <v>DMPH6050SSDQ</v>
      </c>
      <c r="B1301" t="str">
        <f>Hyperlink("https://www.diodes.com/assets/Datasheets/DMPH6050SSDQ.pdf","DMPH6050SSDQ Datasheet")</f>
        <v>DMPH6050SSDQ Datasheet</v>
      </c>
      <c r="C1301" t="s">
        <v>895</v>
      </c>
      <c r="D1301" t="s">
        <v>25</v>
      </c>
      <c r="E1301" t="s">
        <v>33</v>
      </c>
      <c r="F1301" t="s">
        <v>78</v>
      </c>
      <c r="G1301" t="s">
        <v>28</v>
      </c>
      <c r="H1301">
        <v>60</v>
      </c>
      <c r="I1301">
        <v>20</v>
      </c>
      <c r="J1301">
        <v>5.2</v>
      </c>
      <c r="L1301">
        <v>2</v>
      </c>
      <c r="N1301">
        <v>48</v>
      </c>
      <c r="O1301">
        <v>60</v>
      </c>
      <c r="S1301">
        <v>3</v>
      </c>
      <c r="T1301">
        <v>14.5</v>
      </c>
      <c r="U1301">
        <v>30.6</v>
      </c>
      <c r="W1301">
        <v>30</v>
      </c>
      <c r="X1301" t="s">
        <v>155</v>
      </c>
    </row>
    <row r="1302" spans="1:24">
      <c r="A1302" t="str">
        <f>Hyperlink("https://www.diodes.com/part/view/DMPH6250S","DMPH6250S")</f>
        <v>DMPH6250S</v>
      </c>
      <c r="B1302" t="str">
        <f>Hyperlink("https://www.diodes.com/assets/Datasheets/DMPH6250S.pdf","DMPH6250S Datasheet")</f>
        <v>DMPH6250S Datasheet</v>
      </c>
      <c r="C1302" t="s">
        <v>893</v>
      </c>
      <c r="D1302" t="s">
        <v>25</v>
      </c>
      <c r="E1302" t="s">
        <v>26</v>
      </c>
      <c r="F1302" t="s">
        <v>52</v>
      </c>
      <c r="G1302" t="s">
        <v>28</v>
      </c>
      <c r="H1302">
        <v>60</v>
      </c>
      <c r="I1302">
        <v>20</v>
      </c>
      <c r="J1302">
        <v>2.4</v>
      </c>
      <c r="L1302">
        <v>1.62</v>
      </c>
      <c r="N1302">
        <v>155</v>
      </c>
      <c r="O1302">
        <v>240</v>
      </c>
      <c r="S1302">
        <v>3</v>
      </c>
      <c r="T1302">
        <v>4</v>
      </c>
      <c r="U1302">
        <v>8.3</v>
      </c>
      <c r="V1302">
        <v>512</v>
      </c>
      <c r="W1302">
        <v>30</v>
      </c>
      <c r="X1302" t="s">
        <v>32</v>
      </c>
    </row>
    <row r="1303" spans="1:24">
      <c r="A1303" t="str">
        <f>Hyperlink("https://www.diodes.com/part/view/DMPH6250SQ","DMPH6250SQ")</f>
        <v>DMPH6250SQ</v>
      </c>
      <c r="B1303" t="str">
        <f>Hyperlink("https://www.diodes.com/assets/Datasheets/DMPH6250SQ.pdf","DMPH6250SQ Datasheet")</f>
        <v>DMPH6250SQ Datasheet</v>
      </c>
      <c r="C1303" t="s">
        <v>893</v>
      </c>
      <c r="D1303" t="s">
        <v>25</v>
      </c>
      <c r="E1303" t="s">
        <v>33</v>
      </c>
      <c r="F1303" t="s">
        <v>52</v>
      </c>
      <c r="G1303" t="s">
        <v>28</v>
      </c>
      <c r="H1303">
        <v>60</v>
      </c>
      <c r="I1303">
        <v>20</v>
      </c>
      <c r="J1303">
        <v>2.4</v>
      </c>
      <c r="L1303">
        <v>1.62</v>
      </c>
      <c r="N1303">
        <v>155</v>
      </c>
      <c r="O1303">
        <v>240</v>
      </c>
      <c r="S1303">
        <v>3</v>
      </c>
      <c r="T1303">
        <v>4</v>
      </c>
      <c r="U1303">
        <v>8.3</v>
      </c>
      <c r="W1303">
        <v>30</v>
      </c>
      <c r="X1303" t="s">
        <v>32</v>
      </c>
    </row>
    <row r="1304" spans="1:24">
      <c r="A1304" t="str">
        <f>Hyperlink("https://www.diodes.com/part/view/DMS2085LSD","DMS2085LSD")</f>
        <v>DMS2085LSD</v>
      </c>
      <c r="B1304" t="str">
        <f>Hyperlink("https://www.diodes.com/assets/Datasheets/DMS2085LSD.pdf","DMS2085LSD Datasheet")</f>
        <v>DMS2085LSD Datasheet</v>
      </c>
      <c r="C1304" t="s">
        <v>898</v>
      </c>
      <c r="D1304" t="s">
        <v>25</v>
      </c>
      <c r="E1304" t="s">
        <v>26</v>
      </c>
      <c r="F1304" t="s">
        <v>899</v>
      </c>
      <c r="G1304" t="s">
        <v>28</v>
      </c>
      <c r="H1304">
        <v>20</v>
      </c>
      <c r="I1304">
        <v>20</v>
      </c>
      <c r="J1304">
        <v>3.3</v>
      </c>
      <c r="L1304">
        <v>0.7</v>
      </c>
      <c r="N1304">
        <v>85</v>
      </c>
      <c r="O1304">
        <v>125</v>
      </c>
      <c r="S1304">
        <v>2.2</v>
      </c>
      <c r="T1304">
        <v>3.7</v>
      </c>
      <c r="U1304">
        <v>7.8</v>
      </c>
      <c r="X1304" t="s">
        <v>155</v>
      </c>
    </row>
    <row r="1305" spans="1:24">
      <c r="A1305" t="str">
        <f>Hyperlink("https://www.diodes.com/part/view/DMS2095LFDB","DMS2095LFDB")</f>
        <v>DMS2095LFDB</v>
      </c>
      <c r="B1305" t="str">
        <f>Hyperlink("https://www.diodes.com/assets/Datasheets/DMS2095LFDB.pdf","DMS2095LFDB Datasheet")</f>
        <v>DMS2095LFDB Datasheet</v>
      </c>
      <c r="C1305" t="s">
        <v>898</v>
      </c>
      <c r="D1305" t="s">
        <v>25</v>
      </c>
      <c r="E1305" t="s">
        <v>26</v>
      </c>
      <c r="F1305" t="s">
        <v>899</v>
      </c>
      <c r="G1305" t="s">
        <v>28</v>
      </c>
      <c r="H1305">
        <v>20</v>
      </c>
      <c r="I1305">
        <v>12</v>
      </c>
      <c r="J1305">
        <v>3.4</v>
      </c>
      <c r="L1305">
        <v>1.64</v>
      </c>
      <c r="O1305">
        <v>95</v>
      </c>
      <c r="P1305">
        <v>120</v>
      </c>
      <c r="Q1305">
        <v>150</v>
      </c>
      <c r="S1305">
        <v>1.3</v>
      </c>
      <c r="T1305">
        <v>7</v>
      </c>
      <c r="X1305" t="s">
        <v>125</v>
      </c>
    </row>
    <row r="1306" spans="1:24">
      <c r="A1306" t="str">
        <f>Hyperlink("https://www.diodes.com/part/view/DMS2120LFWB","DMS2120LFWB")</f>
        <v>DMS2120LFWB</v>
      </c>
      <c r="B1306" t="str">
        <f>Hyperlink("https://www.diodes.com/assets/Datasheets/ds31667.pdf","DMS2120LFWB Datasheet")</f>
        <v>DMS2120LFWB Datasheet</v>
      </c>
      <c r="C1306" t="s">
        <v>900</v>
      </c>
      <c r="D1306" t="s">
        <v>25</v>
      </c>
      <c r="E1306" t="s">
        <v>26</v>
      </c>
      <c r="F1306" t="s">
        <v>899</v>
      </c>
      <c r="G1306" t="s">
        <v>25</v>
      </c>
      <c r="H1306">
        <v>20</v>
      </c>
      <c r="I1306">
        <v>12</v>
      </c>
      <c r="J1306">
        <v>2.9</v>
      </c>
      <c r="L1306">
        <v>1.5</v>
      </c>
      <c r="O1306">
        <v>95</v>
      </c>
      <c r="P1306">
        <v>120</v>
      </c>
      <c r="Q1306">
        <v>150</v>
      </c>
      <c r="R1306">
        <v>0.45</v>
      </c>
      <c r="S1306">
        <v>1.3</v>
      </c>
      <c r="V1306">
        <v>632</v>
      </c>
      <c r="W1306">
        <v>10</v>
      </c>
      <c r="X1306" t="s">
        <v>901</v>
      </c>
    </row>
    <row r="1307" spans="1:24">
      <c r="A1307" t="str">
        <f>Hyperlink("https://www.diodes.com/part/view/DMS2220LFDB","DMS2220LFDB")</f>
        <v>DMS2220LFDB</v>
      </c>
      <c r="B1307" t="str">
        <f>Hyperlink("https://www.diodes.com/assets/Datasheets/DMS2220LFDB.pdf","DMS2220LFDB Datasheet")</f>
        <v>DMS2220LFDB Datasheet</v>
      </c>
      <c r="C1307" t="s">
        <v>900</v>
      </c>
      <c r="D1307" t="s">
        <v>25</v>
      </c>
      <c r="E1307" t="s">
        <v>26</v>
      </c>
      <c r="F1307" t="s">
        <v>899</v>
      </c>
      <c r="G1307" t="s">
        <v>25</v>
      </c>
      <c r="H1307">
        <v>20</v>
      </c>
      <c r="I1307">
        <v>12</v>
      </c>
      <c r="J1307">
        <v>3.5</v>
      </c>
      <c r="L1307">
        <v>1.4</v>
      </c>
      <c r="O1307">
        <v>95</v>
      </c>
      <c r="P1307">
        <v>120</v>
      </c>
      <c r="R1307">
        <v>0.45</v>
      </c>
      <c r="S1307">
        <v>1.3</v>
      </c>
      <c r="V1307">
        <v>632</v>
      </c>
      <c r="W1307">
        <v>10</v>
      </c>
      <c r="X1307" t="s">
        <v>125</v>
      </c>
    </row>
    <row r="1308" spans="1:24">
      <c r="A1308" t="str">
        <f>Hyperlink("https://www.diodes.com/part/view/DMS3014SFGQ","DMS3014SFGQ")</f>
        <v>DMS3014SFGQ</v>
      </c>
      <c r="B1308" t="str">
        <f>Hyperlink("https://www.diodes.com/assets/Datasheets/DMS3014SFGQ.pdf","DMS3014SFGQ Datasheet")</f>
        <v>DMS3014SFGQ Datasheet</v>
      </c>
      <c r="C1308" t="s">
        <v>504</v>
      </c>
      <c r="D1308" t="s">
        <v>25</v>
      </c>
      <c r="E1308" t="s">
        <v>33</v>
      </c>
      <c r="F1308" t="s">
        <v>27</v>
      </c>
      <c r="G1308" t="s">
        <v>28</v>
      </c>
      <c r="H1308">
        <v>30</v>
      </c>
      <c r="I1308">
        <v>12</v>
      </c>
      <c r="J1308">
        <v>9</v>
      </c>
      <c r="L1308">
        <v>2.1</v>
      </c>
      <c r="N1308">
        <v>14.5</v>
      </c>
      <c r="O1308">
        <v>15.5</v>
      </c>
      <c r="S1308">
        <v>2.2</v>
      </c>
      <c r="T1308">
        <v>19.3</v>
      </c>
      <c r="U1308">
        <v>45.7</v>
      </c>
      <c r="V1308">
        <v>2296</v>
      </c>
      <c r="W1308">
        <v>15</v>
      </c>
      <c r="X1308" t="s">
        <v>529</v>
      </c>
    </row>
    <row r="1309" spans="1:24">
      <c r="A1309" t="str">
        <f>Hyperlink("https://www.diodes.com/part/view/DMT10H003SPSW","DMT10H003SPSW")</f>
        <v>DMT10H003SPSW</v>
      </c>
      <c r="B1309" t="str">
        <f>Hyperlink("https://www.diodes.com/assets/Datasheets/DMT10H003SPSW.pdf","DMT10H003SPSW Datasheet")</f>
        <v>DMT10H003SPSW Datasheet</v>
      </c>
      <c r="C1309" t="s">
        <v>554</v>
      </c>
      <c r="D1309" t="s">
        <v>28</v>
      </c>
      <c r="E1309" t="s">
        <v>26</v>
      </c>
      <c r="F1309" t="s">
        <v>27</v>
      </c>
      <c r="G1309" t="s">
        <v>28</v>
      </c>
      <c r="H1309">
        <v>100</v>
      </c>
      <c r="I1309">
        <v>20</v>
      </c>
      <c r="K1309">
        <v>152</v>
      </c>
      <c r="L1309">
        <v>2.2</v>
      </c>
      <c r="M1309">
        <v>139</v>
      </c>
      <c r="N1309">
        <v>10</v>
      </c>
      <c r="S1309">
        <v>4</v>
      </c>
      <c r="U1309">
        <v>85</v>
      </c>
      <c r="V1309">
        <v>5542</v>
      </c>
      <c r="W1309">
        <v>50</v>
      </c>
      <c r="X1309" t="s">
        <v>617</v>
      </c>
    </row>
    <row r="1310" spans="1:24">
      <c r="A1310" t="str">
        <f>Hyperlink("https://www.diodes.com/part/view/DMT10H009LCG","DMT10H009LCG")</f>
        <v>DMT10H009LCG</v>
      </c>
      <c r="B1310" t="str">
        <f>Hyperlink("https://www.diodes.com/assets/Datasheets/DMT10H009LCG.pdf","DMT10H009LCG Datasheet")</f>
        <v>DMT10H009LCG Datasheet</v>
      </c>
      <c r="C1310" t="s">
        <v>554</v>
      </c>
      <c r="D1310" t="s">
        <v>28</v>
      </c>
      <c r="E1310" t="s">
        <v>26</v>
      </c>
      <c r="F1310" t="s">
        <v>27</v>
      </c>
      <c r="G1310" t="s">
        <v>28</v>
      </c>
      <c r="H1310">
        <v>100</v>
      </c>
      <c r="I1310">
        <v>20</v>
      </c>
      <c r="J1310">
        <v>12.4</v>
      </c>
      <c r="K1310">
        <v>47</v>
      </c>
      <c r="L1310">
        <v>2.1</v>
      </c>
      <c r="N1310">
        <v>8.8</v>
      </c>
      <c r="O1310">
        <v>12.9</v>
      </c>
      <c r="S1310">
        <v>2.5</v>
      </c>
      <c r="T1310">
        <v>20.2</v>
      </c>
      <c r="V1310">
        <v>2309</v>
      </c>
      <c r="W1310">
        <v>50</v>
      </c>
      <c r="X1310" t="s">
        <v>824</v>
      </c>
    </row>
    <row r="1311" spans="1:24">
      <c r="A1311" t="str">
        <f>Hyperlink("https://www.diodes.com/part/view/DMT10H009LFG","DMT10H009LFG")</f>
        <v>DMT10H009LFG</v>
      </c>
      <c r="B1311" t="str">
        <f>Hyperlink("https://www.diodes.com/assets/Datasheets/DMT10H009LFG.pdf","DMT10H009LFG Datasheet")</f>
        <v>DMT10H009LFG Datasheet</v>
      </c>
      <c r="C1311" t="s">
        <v>554</v>
      </c>
      <c r="D1311" t="s">
        <v>28</v>
      </c>
      <c r="E1311" t="s">
        <v>26</v>
      </c>
      <c r="F1311" t="s">
        <v>27</v>
      </c>
      <c r="G1311" t="s">
        <v>28</v>
      </c>
      <c r="H1311">
        <v>100</v>
      </c>
      <c r="I1311">
        <v>20</v>
      </c>
      <c r="J1311">
        <v>13</v>
      </c>
      <c r="K1311">
        <v>50</v>
      </c>
      <c r="L1311">
        <v>2</v>
      </c>
      <c r="M1311">
        <v>30</v>
      </c>
      <c r="N1311">
        <v>8.5</v>
      </c>
      <c r="O1311">
        <v>12.5</v>
      </c>
      <c r="S1311">
        <v>2.5</v>
      </c>
      <c r="U1311">
        <v>41</v>
      </c>
      <c r="V1311">
        <v>2361</v>
      </c>
      <c r="W1311">
        <v>50</v>
      </c>
      <c r="X1311" t="s">
        <v>529</v>
      </c>
    </row>
    <row r="1312" spans="1:24">
      <c r="A1312" t="str">
        <f>Hyperlink("https://www.diodes.com/part/view/DMT10H009LH3","DMT10H009LH3")</f>
        <v>DMT10H009LH3</v>
      </c>
      <c r="B1312" t="str">
        <f>Hyperlink("https://www.diodes.com/assets/Datasheets/DMT10H009LH3.pdf","DMT10H009LH3 Datasheet")</f>
        <v>DMT10H009LH3 Datasheet</v>
      </c>
      <c r="C1312" t="s">
        <v>554</v>
      </c>
      <c r="D1312" t="s">
        <v>28</v>
      </c>
      <c r="E1312" t="s">
        <v>26</v>
      </c>
      <c r="F1312" t="s">
        <v>27</v>
      </c>
      <c r="G1312" t="s">
        <v>28</v>
      </c>
      <c r="H1312">
        <v>100</v>
      </c>
      <c r="I1312">
        <v>20</v>
      </c>
      <c r="K1312">
        <v>84</v>
      </c>
      <c r="M1312">
        <v>96</v>
      </c>
      <c r="N1312">
        <v>9</v>
      </c>
      <c r="O1312">
        <v>13</v>
      </c>
      <c r="S1312">
        <v>2.5</v>
      </c>
      <c r="T1312">
        <v>20.2</v>
      </c>
      <c r="V1312">
        <v>2309</v>
      </c>
      <c r="W1312">
        <v>50</v>
      </c>
      <c r="X1312" t="s">
        <v>902</v>
      </c>
    </row>
    <row r="1313" spans="1:24">
      <c r="A1313" t="str">
        <f>Hyperlink("https://www.diodes.com/part/view/DMT10H009LK3","DMT10H009LK3")</f>
        <v>DMT10H009LK3</v>
      </c>
      <c r="B1313" t="str">
        <f>Hyperlink("https://www.diodes.com/assets/Datasheets/DMT10H009LK3.pdf","DMT10H009LK3 Datasheet")</f>
        <v>DMT10H009LK3 Datasheet</v>
      </c>
      <c r="C1313" t="s">
        <v>554</v>
      </c>
      <c r="D1313" t="s">
        <v>28</v>
      </c>
      <c r="E1313" t="s">
        <v>26</v>
      </c>
      <c r="F1313" t="s">
        <v>27</v>
      </c>
      <c r="G1313" t="s">
        <v>28</v>
      </c>
      <c r="H1313">
        <v>100</v>
      </c>
      <c r="I1313">
        <v>20</v>
      </c>
      <c r="K1313">
        <v>90</v>
      </c>
      <c r="L1313">
        <v>3</v>
      </c>
      <c r="N1313">
        <v>9</v>
      </c>
      <c r="O1313">
        <v>13</v>
      </c>
      <c r="S1313">
        <v>2.5</v>
      </c>
      <c r="T1313">
        <v>20</v>
      </c>
      <c r="V1313">
        <v>2309</v>
      </c>
      <c r="W1313">
        <v>50</v>
      </c>
      <c r="X1313" t="s">
        <v>507</v>
      </c>
    </row>
    <row r="1314" spans="1:24">
      <c r="A1314" t="str">
        <f>Hyperlink("https://www.diodes.com/part/view/DMT10H009LPS","DMT10H009LPS")</f>
        <v>DMT10H009LPS</v>
      </c>
      <c r="B1314" t="str">
        <f>Hyperlink("https://www.diodes.com/assets/Datasheets/DMT10H009LPS.pdf","DMT10H009LPS Datasheet")</f>
        <v>DMT10H009LPS Datasheet</v>
      </c>
      <c r="C1314" t="s">
        <v>554</v>
      </c>
      <c r="D1314" t="s">
        <v>28</v>
      </c>
      <c r="E1314" t="s">
        <v>26</v>
      </c>
      <c r="F1314" t="s">
        <v>27</v>
      </c>
      <c r="G1314" t="s">
        <v>28</v>
      </c>
      <c r="H1314">
        <v>100</v>
      </c>
      <c r="I1314">
        <v>20</v>
      </c>
      <c r="J1314">
        <v>10</v>
      </c>
      <c r="K1314">
        <v>90</v>
      </c>
      <c r="L1314">
        <v>2.9</v>
      </c>
      <c r="M1314">
        <v>104</v>
      </c>
      <c r="N1314">
        <v>8</v>
      </c>
      <c r="O1314">
        <v>12.5</v>
      </c>
      <c r="S1314">
        <v>2.5</v>
      </c>
      <c r="T1314">
        <v>20.2</v>
      </c>
      <c r="U1314">
        <v>40.2</v>
      </c>
      <c r="V1314">
        <v>2309</v>
      </c>
      <c r="W1314">
        <v>50</v>
      </c>
      <c r="X1314" t="s">
        <v>617</v>
      </c>
    </row>
    <row r="1315" spans="1:24">
      <c r="A1315" t="str">
        <f>Hyperlink("https://www.diodes.com/part/view/DMT10H009LSS","DMT10H009LSS")</f>
        <v>DMT10H009LSS</v>
      </c>
      <c r="B1315" t="str">
        <f>Hyperlink("https://www.diodes.com/assets/Datasheets/DMT10H009LSS.pdf","DMT10H009LSS Datasheet")</f>
        <v>DMT10H009LSS Datasheet</v>
      </c>
      <c r="C1315" t="s">
        <v>554</v>
      </c>
      <c r="D1315" t="s">
        <v>28</v>
      </c>
      <c r="E1315" t="s">
        <v>26</v>
      </c>
      <c r="F1315" t="s">
        <v>27</v>
      </c>
      <c r="G1315" t="s">
        <v>28</v>
      </c>
      <c r="H1315">
        <v>100</v>
      </c>
      <c r="I1315">
        <v>20</v>
      </c>
      <c r="J1315">
        <v>13</v>
      </c>
      <c r="K1315">
        <v>48</v>
      </c>
      <c r="L1315">
        <v>2.5</v>
      </c>
      <c r="N1315">
        <v>9</v>
      </c>
      <c r="O1315">
        <v>13.8</v>
      </c>
      <c r="S1315">
        <v>2.5</v>
      </c>
      <c r="T1315">
        <v>20.2</v>
      </c>
      <c r="U1315">
        <v>40.2</v>
      </c>
      <c r="V1315">
        <v>2309</v>
      </c>
      <c r="W1315">
        <v>50</v>
      </c>
      <c r="X1315" t="s">
        <v>155</v>
      </c>
    </row>
    <row r="1316" spans="1:24">
      <c r="A1316" t="str">
        <f>Hyperlink("https://www.diodes.com/part/view/DMT10H009LSSQ","DMT10H009LSSQ")</f>
        <v>DMT10H009LSSQ</v>
      </c>
      <c r="B1316" t="str">
        <f>Hyperlink("https://www.diodes.com/assets/Datasheets/DMT10H009LSSQ.pdf","DMT10H009LSSQ Datasheet")</f>
        <v>DMT10H009LSSQ Datasheet</v>
      </c>
      <c r="C1316" t="s">
        <v>903</v>
      </c>
      <c r="D1316" t="s">
        <v>25</v>
      </c>
      <c r="E1316" t="s">
        <v>33</v>
      </c>
      <c r="F1316" t="s">
        <v>27</v>
      </c>
      <c r="G1316" t="s">
        <v>28</v>
      </c>
      <c r="H1316">
        <v>100</v>
      </c>
      <c r="I1316">
        <v>20</v>
      </c>
      <c r="J1316">
        <v>13</v>
      </c>
      <c r="K1316">
        <v>48</v>
      </c>
      <c r="L1316">
        <v>2.5</v>
      </c>
      <c r="N1316">
        <v>9</v>
      </c>
      <c r="O1316">
        <v>13.8</v>
      </c>
      <c r="R1316">
        <v>1.3</v>
      </c>
      <c r="S1316">
        <v>2.5</v>
      </c>
      <c r="T1316">
        <v>20.2</v>
      </c>
      <c r="U1316">
        <v>40.2</v>
      </c>
      <c r="V1316">
        <v>2309</v>
      </c>
      <c r="W1316">
        <v>50</v>
      </c>
      <c r="X1316" t="s">
        <v>155</v>
      </c>
    </row>
    <row r="1317" spans="1:24">
      <c r="A1317" t="str">
        <f>Hyperlink("https://www.diodes.com/part/view/DMT10H009SCG","DMT10H009SCG")</f>
        <v>DMT10H009SCG</v>
      </c>
      <c r="B1317" t="str">
        <f>Hyperlink("https://www.diodes.com/assets/Datasheets/DMT10H009SCG.pdf","DMT10H009SCG Datasheet")</f>
        <v>DMT10H009SCG Datasheet</v>
      </c>
      <c r="C1317" t="s">
        <v>554</v>
      </c>
      <c r="D1317" t="s">
        <v>28</v>
      </c>
      <c r="E1317" t="s">
        <v>26</v>
      </c>
      <c r="F1317" t="s">
        <v>27</v>
      </c>
      <c r="G1317" t="s">
        <v>28</v>
      </c>
      <c r="H1317">
        <v>100</v>
      </c>
      <c r="I1317">
        <v>20</v>
      </c>
      <c r="J1317">
        <v>14</v>
      </c>
      <c r="K1317">
        <v>48</v>
      </c>
      <c r="L1317">
        <v>2.7</v>
      </c>
      <c r="N1317">
        <v>9.5</v>
      </c>
      <c r="S1317">
        <v>4</v>
      </c>
      <c r="U1317">
        <v>30</v>
      </c>
      <c r="V1317">
        <v>2085</v>
      </c>
      <c r="W1317">
        <v>50</v>
      </c>
      <c r="X1317" t="s">
        <v>824</v>
      </c>
    </row>
    <row r="1318" spans="1:24">
      <c r="A1318" t="str">
        <f>Hyperlink("https://www.diodes.com/part/view/DMT10H009SK3","DMT10H009SK3")</f>
        <v>DMT10H009SK3</v>
      </c>
      <c r="B1318" t="str">
        <f>Hyperlink("https://www.diodes.com/assets/Datasheets/DMT10H009SK3.pdf","DMT10H009SK3 Datasheet")</f>
        <v>DMT10H009SK3 Datasheet</v>
      </c>
      <c r="C1318" t="s">
        <v>554</v>
      </c>
      <c r="D1318" t="s">
        <v>28</v>
      </c>
      <c r="E1318" t="s">
        <v>26</v>
      </c>
      <c r="F1318" t="s">
        <v>27</v>
      </c>
      <c r="G1318" t="s">
        <v>28</v>
      </c>
      <c r="H1318">
        <v>100</v>
      </c>
      <c r="I1318">
        <v>20</v>
      </c>
      <c r="K1318">
        <v>91</v>
      </c>
      <c r="L1318">
        <v>3.2</v>
      </c>
      <c r="N1318">
        <v>9.1</v>
      </c>
      <c r="S1318">
        <v>4</v>
      </c>
      <c r="U1318">
        <v>34</v>
      </c>
      <c r="V1318">
        <v>2028</v>
      </c>
      <c r="W1318">
        <v>50</v>
      </c>
      <c r="X1318" t="s">
        <v>507</v>
      </c>
    </row>
    <row r="1319" spans="1:24">
      <c r="A1319" t="str">
        <f>Hyperlink("https://www.diodes.com/part/view/DMT10H009SPS","DMT10H009SPS")</f>
        <v>DMT10H009SPS</v>
      </c>
      <c r="B1319" t="str">
        <f>Hyperlink("https://www.diodes.com/assets/Datasheets/DMT10H009SPS.pdf","DMT10H009SPS Datasheet")</f>
        <v>DMT10H009SPS Datasheet</v>
      </c>
      <c r="C1319" t="s">
        <v>554</v>
      </c>
      <c r="D1319" t="s">
        <v>28</v>
      </c>
      <c r="E1319" t="s">
        <v>26</v>
      </c>
      <c r="F1319" t="s">
        <v>27</v>
      </c>
      <c r="G1319" t="s">
        <v>28</v>
      </c>
      <c r="H1319">
        <v>100</v>
      </c>
      <c r="I1319">
        <v>20</v>
      </c>
      <c r="J1319">
        <v>14</v>
      </c>
      <c r="K1319">
        <v>80</v>
      </c>
      <c r="L1319">
        <v>2.7</v>
      </c>
      <c r="M1319">
        <v>83</v>
      </c>
      <c r="N1319">
        <v>8.5</v>
      </c>
      <c r="S1319">
        <v>4</v>
      </c>
      <c r="U1319">
        <v>30</v>
      </c>
      <c r="V1319">
        <v>2085</v>
      </c>
      <c r="W1319">
        <v>50</v>
      </c>
      <c r="X1319" t="s">
        <v>617</v>
      </c>
    </row>
    <row r="1320" spans="1:24">
      <c r="A1320" t="str">
        <f>Hyperlink("https://www.diodes.com/part/view/DMT10H009SSS","DMT10H009SSS")</f>
        <v>DMT10H009SSS</v>
      </c>
      <c r="B1320" t="str">
        <f>Hyperlink("https://www.diodes.com/assets/Datasheets/DMT10H009SSS.pdf","DMT10H009SSS Datasheet")</f>
        <v>DMT10H009SSS Datasheet</v>
      </c>
      <c r="C1320" t="s">
        <v>554</v>
      </c>
      <c r="D1320" t="s">
        <v>28</v>
      </c>
      <c r="E1320" t="s">
        <v>26</v>
      </c>
      <c r="F1320" t="s">
        <v>27</v>
      </c>
      <c r="G1320" t="s">
        <v>28</v>
      </c>
      <c r="H1320">
        <v>100</v>
      </c>
      <c r="I1320">
        <v>20</v>
      </c>
      <c r="J1320">
        <v>12</v>
      </c>
      <c r="K1320">
        <v>42</v>
      </c>
      <c r="L1320">
        <v>2.1</v>
      </c>
      <c r="N1320">
        <v>9.2</v>
      </c>
      <c r="S1320">
        <v>4</v>
      </c>
      <c r="U1320">
        <v>29.8</v>
      </c>
      <c r="V1320">
        <v>2085</v>
      </c>
      <c r="W1320">
        <v>50</v>
      </c>
      <c r="X1320" t="s">
        <v>155</v>
      </c>
    </row>
    <row r="1321" spans="1:24">
      <c r="A1321" t="str">
        <f>Hyperlink("https://www.diodes.com/part/view/DMT10H010LCT","DMT10H010LCT")</f>
        <v>DMT10H010LCT</v>
      </c>
      <c r="B1321" t="str">
        <f>Hyperlink("https://www.diodes.com/assets/Datasheets/DMT10H010LCT.pdf","DMT10H010LCT Datasheet")</f>
        <v>DMT10H010LCT Datasheet</v>
      </c>
      <c r="C1321" t="s">
        <v>554</v>
      </c>
      <c r="D1321" t="s">
        <v>25</v>
      </c>
      <c r="E1321" t="s">
        <v>26</v>
      </c>
      <c r="F1321" t="s">
        <v>27</v>
      </c>
      <c r="G1321" t="s">
        <v>28</v>
      </c>
      <c r="H1321">
        <v>100</v>
      </c>
      <c r="I1321">
        <v>20</v>
      </c>
      <c r="K1321">
        <v>98</v>
      </c>
      <c r="L1321">
        <v>2</v>
      </c>
      <c r="M1321">
        <v>139</v>
      </c>
      <c r="N1321">
        <v>9.5</v>
      </c>
      <c r="O1321">
        <v>20</v>
      </c>
      <c r="S1321">
        <v>3</v>
      </c>
      <c r="U1321">
        <v>58.4</v>
      </c>
      <c r="V1321">
        <v>2592</v>
      </c>
      <c r="W1321">
        <v>50</v>
      </c>
      <c r="X1321" t="s">
        <v>753</v>
      </c>
    </row>
    <row r="1322" spans="1:24">
      <c r="A1322" t="str">
        <f>Hyperlink("https://www.diodes.com/part/view/DMT10H010LK3","DMT10H010LK3")</f>
        <v>DMT10H010LK3</v>
      </c>
      <c r="B1322" t="str">
        <f>Hyperlink("https://www.diodes.com/assets/Datasheets/DMT10H010LK3.pdf","DMT10H010LK3 Datasheet")</f>
        <v>DMT10H010LK3 Datasheet</v>
      </c>
      <c r="C1322" t="s">
        <v>554</v>
      </c>
      <c r="D1322" t="s">
        <v>28</v>
      </c>
      <c r="E1322" t="s">
        <v>26</v>
      </c>
      <c r="F1322" t="s">
        <v>27</v>
      </c>
      <c r="G1322" t="s">
        <v>28</v>
      </c>
      <c r="H1322">
        <v>100</v>
      </c>
      <c r="I1322">
        <v>20</v>
      </c>
      <c r="K1322">
        <v>68.8</v>
      </c>
      <c r="L1322">
        <v>3</v>
      </c>
      <c r="M1322">
        <v>62.5</v>
      </c>
      <c r="N1322">
        <v>8.8</v>
      </c>
      <c r="O1322">
        <v>15</v>
      </c>
      <c r="S1322">
        <v>2.8</v>
      </c>
      <c r="U1322">
        <v>53.7</v>
      </c>
      <c r="V1322">
        <v>2592</v>
      </c>
      <c r="W1322">
        <v>50</v>
      </c>
      <c r="X1322" t="s">
        <v>507</v>
      </c>
    </row>
    <row r="1323" spans="1:24">
      <c r="A1323" t="str">
        <f>Hyperlink("https://www.diodes.com/part/view/DMT10H010LPS","DMT10H010LPS")</f>
        <v>DMT10H010LPS</v>
      </c>
      <c r="B1323" t="str">
        <f>Hyperlink("https://www.diodes.com/assets/Datasheets/DMT10H010LPS.pdf","DMT10H010LPS Datasheet")</f>
        <v>DMT10H010LPS Datasheet</v>
      </c>
      <c r="C1323" t="s">
        <v>554</v>
      </c>
      <c r="D1323" t="s">
        <v>25</v>
      </c>
      <c r="E1323" t="s">
        <v>26</v>
      </c>
      <c r="F1323" t="s">
        <v>27</v>
      </c>
      <c r="G1323" t="s">
        <v>28</v>
      </c>
      <c r="H1323">
        <v>100</v>
      </c>
      <c r="I1323">
        <v>20</v>
      </c>
      <c r="J1323">
        <v>14</v>
      </c>
      <c r="K1323">
        <v>98</v>
      </c>
      <c r="L1323">
        <v>3</v>
      </c>
      <c r="M1323">
        <v>139</v>
      </c>
      <c r="N1323">
        <v>8.3</v>
      </c>
      <c r="O1323">
        <v>20</v>
      </c>
      <c r="S1323">
        <v>3</v>
      </c>
      <c r="U1323">
        <v>58.4</v>
      </c>
      <c r="V1323">
        <v>2592</v>
      </c>
      <c r="W1323">
        <v>50</v>
      </c>
      <c r="X1323" t="s">
        <v>617</v>
      </c>
    </row>
    <row r="1324" spans="1:24">
      <c r="A1324" t="str">
        <f>Hyperlink("https://www.diodes.com/part/view/DMT10H010LSS","DMT10H010LSS")</f>
        <v>DMT10H010LSS</v>
      </c>
      <c r="B1324" t="str">
        <f>Hyperlink("https://www.diodes.com/assets/Datasheets/DMT10H010LSS.pdf","DMT10H010LSS Datasheet")</f>
        <v>DMT10H010LSS Datasheet</v>
      </c>
      <c r="C1324" t="s">
        <v>554</v>
      </c>
      <c r="D1324" t="s">
        <v>25</v>
      </c>
      <c r="E1324" t="s">
        <v>26</v>
      </c>
      <c r="F1324" t="s">
        <v>27</v>
      </c>
      <c r="G1324" t="s">
        <v>28</v>
      </c>
      <c r="H1324">
        <v>100</v>
      </c>
      <c r="I1324">
        <v>20</v>
      </c>
      <c r="J1324">
        <v>11.5</v>
      </c>
      <c r="K1324">
        <v>29.5</v>
      </c>
      <c r="L1324">
        <v>1.9</v>
      </c>
      <c r="N1324">
        <v>9.5</v>
      </c>
      <c r="O1324">
        <v>14.5</v>
      </c>
      <c r="S1324">
        <v>2.8</v>
      </c>
      <c r="U1324">
        <v>58.4</v>
      </c>
      <c r="V1324">
        <v>4166</v>
      </c>
      <c r="W1324">
        <v>50</v>
      </c>
      <c r="X1324" t="s">
        <v>155</v>
      </c>
    </row>
    <row r="1325" spans="1:24">
      <c r="A1325" t="str">
        <f>Hyperlink("https://www.diodes.com/part/view/DMT10H010LSSQ","DMT10H010LSSQ")</f>
        <v>DMT10H010LSSQ</v>
      </c>
      <c r="B1325" t="str">
        <f>Hyperlink("https://www.diodes.com/assets/Datasheets/DMT10H010LSSQ.pdf","DMT10H010LSSQ Datasheet")</f>
        <v>DMT10H010LSSQ Datasheet</v>
      </c>
      <c r="C1325" t="s">
        <v>903</v>
      </c>
      <c r="D1325" t="s">
        <v>25</v>
      </c>
      <c r="E1325" t="s">
        <v>33</v>
      </c>
      <c r="F1325" t="s">
        <v>27</v>
      </c>
      <c r="G1325" t="s">
        <v>28</v>
      </c>
      <c r="H1325">
        <v>100</v>
      </c>
      <c r="I1325">
        <v>20</v>
      </c>
      <c r="J1325">
        <v>12</v>
      </c>
      <c r="L1325">
        <v>1.9</v>
      </c>
      <c r="N1325">
        <v>9.5</v>
      </c>
      <c r="O1325">
        <v>14.5</v>
      </c>
      <c r="R1325">
        <v>1.4</v>
      </c>
      <c r="S1325">
        <v>2.8</v>
      </c>
      <c r="U1325">
        <v>58.4</v>
      </c>
      <c r="V1325">
        <v>4166</v>
      </c>
      <c r="W1325">
        <v>50</v>
      </c>
      <c r="X1325" t="s">
        <v>155</v>
      </c>
    </row>
    <row r="1326" spans="1:24">
      <c r="A1326" t="str">
        <f>Hyperlink("https://www.diodes.com/part/view/DMT10H010SPS","DMT10H010SPS")</f>
        <v>DMT10H010SPS</v>
      </c>
      <c r="B1326" t="str">
        <f>Hyperlink("https://www.diodes.com/assets/Datasheets/DMT10H010SPS.pdf","DMT10H010SPS Datasheet")</f>
        <v>DMT10H010SPS Datasheet</v>
      </c>
      <c r="C1326" t="s">
        <v>554</v>
      </c>
      <c r="D1326" t="s">
        <v>25</v>
      </c>
      <c r="E1326" t="s">
        <v>26</v>
      </c>
      <c r="F1326" t="s">
        <v>27</v>
      </c>
      <c r="G1326" t="s">
        <v>28</v>
      </c>
      <c r="H1326">
        <v>100</v>
      </c>
      <c r="I1326">
        <v>20</v>
      </c>
      <c r="J1326">
        <v>14</v>
      </c>
      <c r="K1326">
        <v>100</v>
      </c>
      <c r="L1326">
        <v>2.5</v>
      </c>
      <c r="M1326">
        <v>139</v>
      </c>
      <c r="N1326">
        <v>8.8</v>
      </c>
      <c r="O1326" t="s">
        <v>904</v>
      </c>
      <c r="S1326">
        <v>4</v>
      </c>
      <c r="U1326">
        <v>56.4</v>
      </c>
      <c r="V1326">
        <v>4468</v>
      </c>
      <c r="W1326">
        <v>50</v>
      </c>
      <c r="X1326" t="s">
        <v>617</v>
      </c>
    </row>
    <row r="1327" spans="1:24">
      <c r="A1327" t="str">
        <f>Hyperlink("https://www.diodes.com/part/view/DMT10H014LSS","DMT10H014LSS")</f>
        <v>DMT10H014LSS</v>
      </c>
      <c r="B1327" t="str">
        <f>Hyperlink("https://www.diodes.com/assets/Datasheets/DMT10H014LSS.pdf","DMT10H014LSS Datasheet")</f>
        <v>DMT10H014LSS Datasheet</v>
      </c>
      <c r="C1327" t="s">
        <v>554</v>
      </c>
      <c r="D1327" t="s">
        <v>25</v>
      </c>
      <c r="E1327" t="s">
        <v>26</v>
      </c>
      <c r="F1327" t="s">
        <v>27</v>
      </c>
      <c r="G1327" t="s">
        <v>28</v>
      </c>
      <c r="H1327">
        <v>100</v>
      </c>
      <c r="I1327">
        <v>20</v>
      </c>
      <c r="J1327">
        <v>8.9</v>
      </c>
      <c r="L1327">
        <v>1.67</v>
      </c>
      <c r="N1327">
        <v>14</v>
      </c>
      <c r="O1327">
        <v>25</v>
      </c>
      <c r="S1327">
        <v>3</v>
      </c>
      <c r="U1327">
        <v>33.3</v>
      </c>
      <c r="V1327">
        <v>1871</v>
      </c>
      <c r="W1327">
        <v>50</v>
      </c>
      <c r="X1327" t="s">
        <v>155</v>
      </c>
    </row>
    <row r="1328" spans="1:24">
      <c r="A1328" t="str">
        <f>Hyperlink("https://www.diodes.com/part/view/DMT10H015LCG","DMT10H015LCG")</f>
        <v>DMT10H015LCG</v>
      </c>
      <c r="B1328" t="str">
        <f>Hyperlink("https://www.diodes.com/assets/Datasheets/DMT10H015LCG.pdf","DMT10H015LCG Datasheet")</f>
        <v>DMT10H015LCG Datasheet</v>
      </c>
      <c r="C1328" t="s">
        <v>554</v>
      </c>
      <c r="D1328" t="s">
        <v>28</v>
      </c>
      <c r="E1328" t="s">
        <v>26</v>
      </c>
      <c r="F1328" t="s">
        <v>27</v>
      </c>
      <c r="G1328" t="s">
        <v>28</v>
      </c>
      <c r="H1328">
        <v>100</v>
      </c>
      <c r="I1328">
        <v>20</v>
      </c>
      <c r="J1328">
        <v>9.4</v>
      </c>
      <c r="K1328">
        <v>34</v>
      </c>
      <c r="L1328">
        <v>2.1</v>
      </c>
      <c r="N1328">
        <v>15</v>
      </c>
      <c r="O1328">
        <v>26</v>
      </c>
      <c r="S1328">
        <v>3.5</v>
      </c>
      <c r="U1328">
        <v>33.3</v>
      </c>
      <c r="V1328">
        <v>1871</v>
      </c>
      <c r="W1328">
        <v>50</v>
      </c>
      <c r="X1328" t="s">
        <v>824</v>
      </c>
    </row>
    <row r="1329" spans="1:24">
      <c r="A1329" t="str">
        <f>Hyperlink("https://www.diodes.com/part/view/DMT10H015LFG","DMT10H015LFG")</f>
        <v>DMT10H015LFG</v>
      </c>
      <c r="B1329" t="str">
        <f>Hyperlink("https://www.diodes.com/assets/Datasheets/DMT10H015LFG.pdf","DMT10H015LFG Datasheet")</f>
        <v>DMT10H015LFG Datasheet</v>
      </c>
      <c r="C1329" t="s">
        <v>554</v>
      </c>
      <c r="D1329" t="s">
        <v>25</v>
      </c>
      <c r="E1329" t="s">
        <v>26</v>
      </c>
      <c r="F1329" t="s">
        <v>27</v>
      </c>
      <c r="G1329" t="s">
        <v>28</v>
      </c>
      <c r="H1329">
        <v>100</v>
      </c>
      <c r="I1329">
        <v>20</v>
      </c>
      <c r="J1329">
        <v>10</v>
      </c>
      <c r="K1329">
        <v>42</v>
      </c>
      <c r="L1329">
        <v>2</v>
      </c>
      <c r="N1329">
        <v>13.5</v>
      </c>
      <c r="O1329">
        <v>23.5</v>
      </c>
      <c r="S1329">
        <v>3.5</v>
      </c>
      <c r="U1329">
        <v>33.3</v>
      </c>
      <c r="V1329">
        <v>1871</v>
      </c>
      <c r="W1329">
        <v>50</v>
      </c>
      <c r="X1329" t="s">
        <v>529</v>
      </c>
    </row>
    <row r="1330" spans="1:24">
      <c r="A1330" t="str">
        <f>Hyperlink("https://www.diodes.com/part/view/DMT10H015LK3","DMT10H015LK3")</f>
        <v>DMT10H015LK3</v>
      </c>
      <c r="B1330" t="str">
        <f>Hyperlink("https://www.diodes.com/assets/Datasheets/DMT10H015LK3.pdf","DMT10H015LK3 Datasheet")</f>
        <v>DMT10H015LK3 Datasheet</v>
      </c>
      <c r="C1330" t="s">
        <v>554</v>
      </c>
      <c r="D1330" t="s">
        <v>25</v>
      </c>
      <c r="E1330" t="s">
        <v>26</v>
      </c>
      <c r="F1330" t="s">
        <v>27</v>
      </c>
      <c r="G1330" t="s">
        <v>28</v>
      </c>
      <c r="H1330">
        <v>100</v>
      </c>
      <c r="I1330">
        <v>20</v>
      </c>
      <c r="K1330">
        <v>52.7</v>
      </c>
      <c r="L1330">
        <v>2.9</v>
      </c>
      <c r="N1330">
        <v>15</v>
      </c>
      <c r="O1330">
        <v>25</v>
      </c>
      <c r="S1330">
        <v>3.5</v>
      </c>
      <c r="U1330">
        <v>33.3</v>
      </c>
      <c r="V1330">
        <v>1871</v>
      </c>
      <c r="W1330">
        <v>50</v>
      </c>
      <c r="X1330" t="s">
        <v>507</v>
      </c>
    </row>
    <row r="1331" spans="1:24">
      <c r="A1331" t="str">
        <f>Hyperlink("https://www.diodes.com/part/view/DMT10H015LPS","DMT10H015LPS")</f>
        <v>DMT10H015LPS</v>
      </c>
      <c r="B1331" t="str">
        <f>Hyperlink("https://www.diodes.com/assets/Datasheets/DMT10H015LPS.pdf","DMT10H015LPS Datasheet")</f>
        <v>DMT10H015LPS Datasheet</v>
      </c>
      <c r="C1331" t="s">
        <v>554</v>
      </c>
      <c r="D1331" t="s">
        <v>25</v>
      </c>
      <c r="E1331" t="s">
        <v>26</v>
      </c>
      <c r="F1331" t="s">
        <v>27</v>
      </c>
      <c r="G1331" t="s">
        <v>28</v>
      </c>
      <c r="H1331">
        <v>100</v>
      </c>
      <c r="I1331">
        <v>20</v>
      </c>
      <c r="J1331">
        <v>10</v>
      </c>
      <c r="K1331">
        <v>44</v>
      </c>
      <c r="L1331">
        <v>1.3</v>
      </c>
      <c r="N1331">
        <v>16</v>
      </c>
      <c r="O1331">
        <v>25</v>
      </c>
      <c r="S1331">
        <v>3</v>
      </c>
      <c r="U1331">
        <v>33.3</v>
      </c>
      <c r="V1331">
        <v>1871</v>
      </c>
      <c r="W1331">
        <v>50</v>
      </c>
      <c r="X1331" t="s">
        <v>617</v>
      </c>
    </row>
    <row r="1332" spans="1:24">
      <c r="A1332" t="str">
        <f>Hyperlink("https://www.diodes.com/part/view/DMT10H015LSS","DMT10H015LSS")</f>
        <v>DMT10H015LSS</v>
      </c>
      <c r="B1332" t="str">
        <f>Hyperlink("https://www.diodes.com/assets/Datasheets/DMT10H015LSS.pdf","DMT10H015LSS Datasheet")</f>
        <v>DMT10H015LSS Datasheet</v>
      </c>
      <c r="C1332" t="s">
        <v>554</v>
      </c>
      <c r="D1332" t="s">
        <v>25</v>
      </c>
      <c r="E1332" t="s">
        <v>26</v>
      </c>
      <c r="F1332" t="s">
        <v>27</v>
      </c>
      <c r="G1332" t="s">
        <v>28</v>
      </c>
      <c r="H1332">
        <v>100</v>
      </c>
      <c r="I1332">
        <v>20</v>
      </c>
      <c r="J1332">
        <v>8.3</v>
      </c>
      <c r="L1332">
        <v>1.67</v>
      </c>
      <c r="N1332">
        <v>16</v>
      </c>
      <c r="O1332">
        <v>25</v>
      </c>
      <c r="S1332">
        <v>3</v>
      </c>
      <c r="U1332">
        <v>33.3</v>
      </c>
      <c r="V1332">
        <v>1871</v>
      </c>
      <c r="W1332">
        <v>50</v>
      </c>
      <c r="X1332" t="s">
        <v>155</v>
      </c>
    </row>
    <row r="1333" spans="1:24">
      <c r="A1333" t="str">
        <f>Hyperlink("https://www.diodes.com/part/view/DMT10H015SK3","DMT10H015SK3")</f>
        <v>DMT10H015SK3</v>
      </c>
      <c r="B1333" t="str">
        <f>Hyperlink("https://www.diodes.com/assets/Datasheets/DMT10H015SK3.pdf","DMT10H015SK3 Datasheet")</f>
        <v>DMT10H015SK3 Datasheet</v>
      </c>
      <c r="C1333" t="s">
        <v>554</v>
      </c>
      <c r="D1333" t="s">
        <v>28</v>
      </c>
      <c r="E1333" t="s">
        <v>26</v>
      </c>
      <c r="F1333" t="s">
        <v>27</v>
      </c>
      <c r="G1333" t="s">
        <v>28</v>
      </c>
      <c r="H1333">
        <v>100</v>
      </c>
      <c r="I1333">
        <v>20</v>
      </c>
      <c r="K1333">
        <v>54</v>
      </c>
      <c r="L1333">
        <v>2.9</v>
      </c>
      <c r="N1333">
        <v>14</v>
      </c>
      <c r="O1333" t="s">
        <v>905</v>
      </c>
      <c r="S1333">
        <v>4</v>
      </c>
      <c r="U1333">
        <v>30.1</v>
      </c>
      <c r="V1333">
        <v>2343</v>
      </c>
      <c r="W1333">
        <v>50</v>
      </c>
      <c r="X1333" t="s">
        <v>507</v>
      </c>
    </row>
    <row r="1334" spans="1:24">
      <c r="A1334" t="str">
        <f>Hyperlink("https://www.diodes.com/part/view/DMT10H015SPS","DMT10H015SPS")</f>
        <v>DMT10H015SPS</v>
      </c>
      <c r="B1334" t="str">
        <f>Hyperlink("https://www.diodes.com/assets/Datasheets/DMT10H015SPS.pdf","DMT10H015SPS Datasheet")</f>
        <v>DMT10H015SPS Datasheet</v>
      </c>
      <c r="C1334" t="s">
        <v>554</v>
      </c>
      <c r="D1334" t="s">
        <v>25</v>
      </c>
      <c r="E1334" t="s">
        <v>26</v>
      </c>
      <c r="F1334" t="s">
        <v>27</v>
      </c>
      <c r="G1334" t="s">
        <v>28</v>
      </c>
      <c r="H1334">
        <v>100</v>
      </c>
      <c r="I1334">
        <v>20</v>
      </c>
      <c r="J1334">
        <v>7.6</v>
      </c>
      <c r="K1334">
        <v>46</v>
      </c>
      <c r="L1334">
        <v>1.3</v>
      </c>
      <c r="M1334">
        <v>46</v>
      </c>
      <c r="N1334">
        <v>14.5</v>
      </c>
      <c r="S1334">
        <v>4</v>
      </c>
      <c r="U1334">
        <v>30.1</v>
      </c>
      <c r="V1334">
        <v>2343</v>
      </c>
      <c r="W1334">
        <v>50</v>
      </c>
      <c r="X1334" t="s">
        <v>617</v>
      </c>
    </row>
    <row r="1335" spans="1:24">
      <c r="A1335" t="str">
        <f>Hyperlink("https://www.diodes.com/part/view/DMT10H017LPD","DMT10H017LPD")</f>
        <v>DMT10H017LPD</v>
      </c>
      <c r="B1335" t="str">
        <f>Hyperlink("https://www.diodes.com/assets/Datasheets/DMT10H017LPD.pdf","DMT10H017LPD Datasheet")</f>
        <v>DMT10H017LPD Datasheet</v>
      </c>
      <c r="C1335" t="s">
        <v>588</v>
      </c>
      <c r="D1335" t="s">
        <v>25</v>
      </c>
      <c r="E1335" t="s">
        <v>26</v>
      </c>
      <c r="F1335" t="s">
        <v>35</v>
      </c>
      <c r="G1335" t="s">
        <v>28</v>
      </c>
      <c r="H1335">
        <v>100</v>
      </c>
      <c r="I1335">
        <v>20</v>
      </c>
      <c r="K1335">
        <v>54.7</v>
      </c>
      <c r="L1335">
        <v>2.2</v>
      </c>
      <c r="M1335">
        <v>78</v>
      </c>
      <c r="N1335">
        <v>17.4</v>
      </c>
      <c r="O1335">
        <v>30.3</v>
      </c>
      <c r="S1335">
        <v>3</v>
      </c>
      <c r="T1335">
        <v>14.4</v>
      </c>
      <c r="U1335">
        <v>28.6</v>
      </c>
      <c r="V1335">
        <v>1986</v>
      </c>
      <c r="W1335">
        <v>50</v>
      </c>
      <c r="X1335" t="s">
        <v>906</v>
      </c>
    </row>
    <row r="1336" spans="1:24">
      <c r="A1336" t="str">
        <f>Hyperlink("https://www.diodes.com/part/view/DMT10H025LK3","DMT10H025LK3")</f>
        <v>DMT10H025LK3</v>
      </c>
      <c r="B1336" t="str">
        <f>Hyperlink("https://www.diodes.com/assets/Datasheets/DMT10H025LK3.pdf","DMT10H025LK3 Datasheet")</f>
        <v>DMT10H025LK3 Datasheet</v>
      </c>
      <c r="C1336" t="s">
        <v>554</v>
      </c>
      <c r="D1336" t="s">
        <v>25</v>
      </c>
      <c r="E1336" t="s">
        <v>26</v>
      </c>
      <c r="F1336" t="s">
        <v>27</v>
      </c>
      <c r="G1336" t="s">
        <v>28</v>
      </c>
      <c r="H1336">
        <v>100</v>
      </c>
      <c r="I1336">
        <v>20</v>
      </c>
      <c r="K1336">
        <v>47.2</v>
      </c>
      <c r="L1336">
        <v>2.6</v>
      </c>
      <c r="M1336">
        <v>83</v>
      </c>
      <c r="N1336">
        <v>22</v>
      </c>
      <c r="O1336">
        <v>43.7</v>
      </c>
      <c r="S1336">
        <v>3</v>
      </c>
      <c r="U1336">
        <v>21</v>
      </c>
      <c r="V1336">
        <v>1477</v>
      </c>
      <c r="W1336">
        <v>50</v>
      </c>
      <c r="X1336" t="s">
        <v>507</v>
      </c>
    </row>
    <row r="1337" spans="1:24">
      <c r="A1337" t="str">
        <f>Hyperlink("https://www.diodes.com/part/view/DMT10H025LSS","DMT10H025LSS")</f>
        <v>DMT10H025LSS</v>
      </c>
      <c r="B1337" t="str">
        <f>Hyperlink("https://www.diodes.com/assets/Datasheets/DMT10H025LSS.pdf","DMT10H025LSS Datasheet")</f>
        <v>DMT10H025LSS Datasheet</v>
      </c>
      <c r="C1337" t="s">
        <v>554</v>
      </c>
      <c r="D1337" t="s">
        <v>28</v>
      </c>
      <c r="E1337" t="s">
        <v>26</v>
      </c>
      <c r="F1337" t="s">
        <v>27</v>
      </c>
      <c r="G1337" t="s">
        <v>28</v>
      </c>
      <c r="H1337">
        <v>100</v>
      </c>
      <c r="I1337">
        <v>20</v>
      </c>
      <c r="J1337">
        <v>7.1</v>
      </c>
      <c r="L1337">
        <v>1.9</v>
      </c>
      <c r="M1337">
        <v>12.9</v>
      </c>
      <c r="N1337">
        <v>25</v>
      </c>
      <c r="O1337">
        <v>45</v>
      </c>
      <c r="S1337">
        <v>3</v>
      </c>
      <c r="U1337">
        <v>22.9</v>
      </c>
      <c r="V1337">
        <v>1639</v>
      </c>
      <c r="W1337">
        <v>50</v>
      </c>
      <c r="X1337" t="s">
        <v>155</v>
      </c>
    </row>
    <row r="1338" spans="1:24">
      <c r="A1338" t="str">
        <f>Hyperlink("https://www.diodes.com/part/view/DMT10H025SK3","DMT10H025SK3")</f>
        <v>DMT10H025SK3</v>
      </c>
      <c r="B1338" t="str">
        <f>Hyperlink("https://www.diodes.com/assets/Datasheets/DMT10H025SK3.pdf","DMT10H025SK3 Datasheet")</f>
        <v>DMT10H025SK3 Datasheet</v>
      </c>
      <c r="C1338" t="s">
        <v>554</v>
      </c>
      <c r="D1338" t="s">
        <v>25</v>
      </c>
      <c r="E1338" t="s">
        <v>26</v>
      </c>
      <c r="F1338" t="s">
        <v>27</v>
      </c>
      <c r="G1338" t="s">
        <v>28</v>
      </c>
      <c r="H1338">
        <v>100</v>
      </c>
      <c r="I1338">
        <v>20</v>
      </c>
      <c r="K1338">
        <v>41.2</v>
      </c>
      <c r="L1338">
        <v>2.5</v>
      </c>
      <c r="N1338">
        <v>23</v>
      </c>
      <c r="S1338">
        <v>4</v>
      </c>
      <c r="U1338">
        <v>21.4</v>
      </c>
      <c r="V1338">
        <v>1544</v>
      </c>
      <c r="W1338">
        <v>50</v>
      </c>
      <c r="X1338" t="s">
        <v>507</v>
      </c>
    </row>
    <row r="1339" spans="1:24">
      <c r="A1339" t="str">
        <f>Hyperlink("https://www.diodes.com/part/view/DMT10H025SSS","DMT10H025SSS")</f>
        <v>DMT10H025SSS</v>
      </c>
      <c r="B1339" t="str">
        <f>Hyperlink("https://www.diodes.com/assets/Datasheets/DMT10H025SSS.pdf","DMT10H025SSS Datasheet")</f>
        <v>DMT10H025SSS Datasheet</v>
      </c>
      <c r="C1339" t="s">
        <v>554</v>
      </c>
      <c r="D1339" t="s">
        <v>28</v>
      </c>
      <c r="E1339" t="s">
        <v>26</v>
      </c>
      <c r="F1339" t="s">
        <v>27</v>
      </c>
      <c r="G1339" t="s">
        <v>28</v>
      </c>
      <c r="H1339">
        <v>100</v>
      </c>
      <c r="I1339">
        <v>20</v>
      </c>
      <c r="J1339">
        <v>7.4</v>
      </c>
      <c r="L1339">
        <v>1.9</v>
      </c>
      <c r="M1339">
        <v>12.9</v>
      </c>
      <c r="N1339">
        <v>23</v>
      </c>
      <c r="O1339" t="s">
        <v>907</v>
      </c>
      <c r="S1339">
        <v>4</v>
      </c>
      <c r="U1339">
        <v>21.4</v>
      </c>
      <c r="V1339">
        <v>1544</v>
      </c>
      <c r="W1339">
        <v>50</v>
      </c>
      <c r="X1339" t="s">
        <v>155</v>
      </c>
    </row>
    <row r="1340" spans="1:24">
      <c r="A1340" t="str">
        <f>Hyperlink("https://www.diodes.com/part/view/DMT10H032LDV","DMT10H032LDV")</f>
        <v>DMT10H032LDV</v>
      </c>
      <c r="B1340" t="str">
        <f>Hyperlink("https://www.diodes.com/assets/Datasheets/DMT10H032LDV.pdf","DMT10H032LDV Datasheet")</f>
        <v>DMT10H032LDV Datasheet</v>
      </c>
      <c r="C1340" t="s">
        <v>554</v>
      </c>
      <c r="D1340" t="s">
        <v>25</v>
      </c>
      <c r="E1340" t="s">
        <v>26</v>
      </c>
      <c r="F1340" t="s">
        <v>35</v>
      </c>
      <c r="G1340" t="s">
        <v>28</v>
      </c>
      <c r="H1340">
        <v>100</v>
      </c>
      <c r="I1340">
        <v>20</v>
      </c>
      <c r="K1340">
        <v>18</v>
      </c>
      <c r="L1340">
        <v>2.4</v>
      </c>
      <c r="N1340">
        <v>36</v>
      </c>
      <c r="O1340">
        <v>50</v>
      </c>
      <c r="S1340">
        <v>2.5</v>
      </c>
      <c r="T1340">
        <v>6.3</v>
      </c>
      <c r="U1340">
        <v>11.9</v>
      </c>
      <c r="V1340">
        <v>683</v>
      </c>
      <c r="W1340">
        <v>50</v>
      </c>
      <c r="X1340" t="s">
        <v>529</v>
      </c>
    </row>
    <row r="1341" spans="1:24">
      <c r="A1341" t="str">
        <f>Hyperlink("https://www.diodes.com/part/view/DMT10H032LDVW","DMT10H032LDVW")</f>
        <v>DMT10H032LDVW</v>
      </c>
      <c r="B1341" t="str">
        <f>Hyperlink("https://www.diodes.com/assets/Datasheets/DMT10H032LDVW.pdf","DMT10H032LDVW Datasheet")</f>
        <v>DMT10H032LDVW Datasheet</v>
      </c>
      <c r="C1341" t="s">
        <v>908</v>
      </c>
      <c r="D1341" t="s">
        <v>25</v>
      </c>
      <c r="E1341" t="s">
        <v>26</v>
      </c>
      <c r="F1341" t="s">
        <v>35</v>
      </c>
      <c r="G1341" t="s">
        <v>28</v>
      </c>
      <c r="H1341">
        <v>100</v>
      </c>
      <c r="I1341">
        <v>20</v>
      </c>
      <c r="J1341">
        <v>6.9</v>
      </c>
      <c r="L1341">
        <v>2.8</v>
      </c>
      <c r="N1341">
        <v>32</v>
      </c>
      <c r="R1341">
        <v>1.3</v>
      </c>
      <c r="S1341">
        <v>2.5</v>
      </c>
      <c r="T1341">
        <v>6.3</v>
      </c>
      <c r="U1341">
        <v>11.9</v>
      </c>
      <c r="V1341">
        <v>683</v>
      </c>
      <c r="W1341">
        <v>50</v>
      </c>
      <c r="X1341" t="s">
        <v>309</v>
      </c>
    </row>
    <row r="1342" spans="1:24">
      <c r="A1342" t="str">
        <f>Hyperlink("https://www.diodes.com/part/view/DMT10H032LDVWQ","DMT10H032LDVWQ")</f>
        <v>DMT10H032LDVWQ</v>
      </c>
      <c r="B1342" t="str">
        <f>Hyperlink("https://www.diodes.com/assets/Datasheets/DMT10H032LDVWQ.pdf","DMT10H032LDVWQ Datasheet")</f>
        <v>DMT10H032LDVWQ Datasheet</v>
      </c>
      <c r="C1342" t="s">
        <v>908</v>
      </c>
      <c r="D1342" t="s">
        <v>25</v>
      </c>
      <c r="E1342" t="s">
        <v>33</v>
      </c>
      <c r="F1342" t="s">
        <v>35</v>
      </c>
      <c r="G1342" t="s">
        <v>28</v>
      </c>
      <c r="H1342">
        <v>100</v>
      </c>
      <c r="I1342">
        <v>20</v>
      </c>
      <c r="J1342">
        <v>6.9</v>
      </c>
      <c r="L1342">
        <v>2.8</v>
      </c>
      <c r="N1342">
        <v>32</v>
      </c>
      <c r="R1342">
        <v>1.3</v>
      </c>
      <c r="S1342">
        <v>2.5</v>
      </c>
      <c r="T1342">
        <v>6.3</v>
      </c>
      <c r="U1342">
        <v>11.9</v>
      </c>
      <c r="V1342">
        <v>683</v>
      </c>
      <c r="W1342">
        <v>50</v>
      </c>
      <c r="X1342" t="s">
        <v>309</v>
      </c>
    </row>
    <row r="1343" spans="1:24">
      <c r="A1343" t="str">
        <f>Hyperlink("https://www.diodes.com/part/view/DMT10H032LFDF","DMT10H032LFDF")</f>
        <v>DMT10H032LFDF</v>
      </c>
      <c r="B1343" t="str">
        <f>Hyperlink("https://www.diodes.com/assets/Datasheets/DMT10H032LFDF.pdf","DMT10H032LFDF Datasheet")</f>
        <v>DMT10H032LFDF Datasheet</v>
      </c>
      <c r="C1343" t="s">
        <v>554</v>
      </c>
      <c r="D1343" t="s">
        <v>28</v>
      </c>
      <c r="E1343" t="s">
        <v>26</v>
      </c>
      <c r="F1343" t="s">
        <v>27</v>
      </c>
      <c r="G1343" t="s">
        <v>28</v>
      </c>
      <c r="H1343">
        <v>100</v>
      </c>
      <c r="I1343">
        <v>20</v>
      </c>
      <c r="J1343">
        <v>6</v>
      </c>
      <c r="L1343">
        <v>1.6</v>
      </c>
      <c r="N1343">
        <v>32</v>
      </c>
      <c r="O1343">
        <v>46</v>
      </c>
      <c r="S1343">
        <v>2.5</v>
      </c>
      <c r="T1343">
        <v>6.3</v>
      </c>
      <c r="U1343">
        <v>11.9</v>
      </c>
      <c r="V1343">
        <v>683</v>
      </c>
      <c r="W1343">
        <v>50</v>
      </c>
      <c r="X1343" t="s">
        <v>568</v>
      </c>
    </row>
    <row r="1344" spans="1:24">
      <c r="A1344" t="str">
        <f>Hyperlink("https://www.diodes.com/part/view/DMT10H032LFVW","DMT10H032LFVW")</f>
        <v>DMT10H032LFVW</v>
      </c>
      <c r="B1344" t="str">
        <f>Hyperlink("https://www.diodes.com/assets/Datasheets/DMT10H032LFVW.pdf","DMT10H032LFVW Datasheet")</f>
        <v>DMT10H032LFVW Datasheet</v>
      </c>
      <c r="C1344" t="s">
        <v>554</v>
      </c>
      <c r="D1344" t="s">
        <v>28</v>
      </c>
      <c r="E1344" t="s">
        <v>26</v>
      </c>
      <c r="F1344" t="s">
        <v>27</v>
      </c>
      <c r="G1344" t="s">
        <v>28</v>
      </c>
      <c r="H1344">
        <v>100</v>
      </c>
      <c r="I1344">
        <v>20</v>
      </c>
      <c r="K1344">
        <v>17</v>
      </c>
      <c r="L1344">
        <v>2.5</v>
      </c>
      <c r="N1344">
        <v>32</v>
      </c>
      <c r="O1344">
        <v>50</v>
      </c>
      <c r="S1344">
        <v>2.5</v>
      </c>
      <c r="T1344">
        <v>6.3</v>
      </c>
      <c r="U1344">
        <v>11.9</v>
      </c>
      <c r="V1344">
        <v>683</v>
      </c>
      <c r="W1344">
        <v>50</v>
      </c>
      <c r="X1344" t="s">
        <v>529</v>
      </c>
    </row>
    <row r="1345" spans="1:24">
      <c r="A1345" t="str">
        <f>Hyperlink("https://www.diodes.com/part/view/DMT10H032LK3","DMT10H032LK3")</f>
        <v>DMT10H032LK3</v>
      </c>
      <c r="B1345" t="str">
        <f>Hyperlink("https://www.diodes.com/assets/Datasheets/DMT10H032LK3.pdf","DMT10H032LK3 Datasheet")</f>
        <v>DMT10H032LK3 Datasheet</v>
      </c>
      <c r="C1345" t="s">
        <v>554</v>
      </c>
      <c r="D1345" t="s">
        <v>28</v>
      </c>
      <c r="E1345" t="s">
        <v>26</v>
      </c>
      <c r="F1345" t="s">
        <v>27</v>
      </c>
      <c r="G1345" t="s">
        <v>28</v>
      </c>
      <c r="H1345">
        <v>100</v>
      </c>
      <c r="I1345">
        <v>20</v>
      </c>
      <c r="K1345">
        <v>26</v>
      </c>
      <c r="L1345">
        <v>3</v>
      </c>
      <c r="N1345">
        <v>32</v>
      </c>
      <c r="O1345">
        <v>48</v>
      </c>
      <c r="R1345">
        <v>1.3</v>
      </c>
      <c r="S1345">
        <v>2.5</v>
      </c>
      <c r="T1345">
        <v>6.3</v>
      </c>
      <c r="U1345">
        <v>11.9</v>
      </c>
      <c r="V1345">
        <v>683</v>
      </c>
      <c r="W1345">
        <v>50</v>
      </c>
      <c r="X1345" t="s">
        <v>507</v>
      </c>
    </row>
    <row r="1346" spans="1:24">
      <c r="A1346" t="str">
        <f>Hyperlink("https://www.diodes.com/part/view/DMT10H032LSS","DMT10H032LSS")</f>
        <v>DMT10H032LSS</v>
      </c>
      <c r="B1346" t="str">
        <f>Hyperlink("https://www.diodes.com/assets/Datasheets/DMT10H032LSS.pdf","DMT10H032LSS Datasheet")</f>
        <v>DMT10H032LSS Datasheet</v>
      </c>
      <c r="C1346" t="s">
        <v>554</v>
      </c>
      <c r="D1346" t="s">
        <v>28</v>
      </c>
      <c r="E1346" t="s">
        <v>26</v>
      </c>
      <c r="F1346" t="s">
        <v>27</v>
      </c>
      <c r="G1346" t="s">
        <v>28</v>
      </c>
      <c r="H1346">
        <v>100</v>
      </c>
      <c r="I1346">
        <v>20</v>
      </c>
      <c r="J1346">
        <v>5</v>
      </c>
      <c r="L1346">
        <v>1.9</v>
      </c>
      <c r="N1346">
        <v>32</v>
      </c>
      <c r="O1346">
        <v>49</v>
      </c>
      <c r="R1346">
        <v>1.3</v>
      </c>
      <c r="S1346">
        <v>2.5</v>
      </c>
      <c r="T1346">
        <v>6.3</v>
      </c>
      <c r="U1346">
        <v>11.9</v>
      </c>
      <c r="V1346">
        <v>683</v>
      </c>
      <c r="W1346">
        <v>50</v>
      </c>
      <c r="X1346" t="s">
        <v>155</v>
      </c>
    </row>
    <row r="1347" spans="1:24">
      <c r="A1347" t="str">
        <f>Hyperlink("https://www.diodes.com/part/view/DMT10H032SDVW","DMT10H032SDVW")</f>
        <v>DMT10H032SDVW</v>
      </c>
      <c r="B1347" t="str">
        <f>Hyperlink("https://www.diodes.com/assets/Datasheets/DMT10H032SDVW.pdf","DMT10H032SDVW Datasheet")</f>
        <v>DMT10H032SDVW Datasheet</v>
      </c>
      <c r="C1347" t="s">
        <v>908</v>
      </c>
      <c r="D1347" t="s">
        <v>25</v>
      </c>
      <c r="E1347" t="s">
        <v>26</v>
      </c>
      <c r="F1347" t="s">
        <v>35</v>
      </c>
      <c r="G1347" t="s">
        <v>28</v>
      </c>
      <c r="H1347">
        <v>100</v>
      </c>
      <c r="I1347">
        <v>20</v>
      </c>
      <c r="J1347">
        <v>6</v>
      </c>
      <c r="L1347">
        <v>2.3</v>
      </c>
      <c r="N1347">
        <v>35</v>
      </c>
      <c r="R1347">
        <v>2</v>
      </c>
      <c r="S1347">
        <v>4</v>
      </c>
      <c r="T1347">
        <v>4.3</v>
      </c>
      <c r="U1347">
        <v>8</v>
      </c>
      <c r="V1347">
        <v>544</v>
      </c>
      <c r="W1347">
        <v>50</v>
      </c>
      <c r="X1347" t="s">
        <v>309</v>
      </c>
    </row>
    <row r="1348" spans="1:24">
      <c r="A1348" t="str">
        <f>Hyperlink("https://www.diodes.com/part/view/DMT10H032SDVWQ","DMT10H032SDVWQ")</f>
        <v>DMT10H032SDVWQ</v>
      </c>
      <c r="B1348" t="str">
        <f>Hyperlink("https://www.diodes.com/assets/Datasheets/DMT10H032SDVWQ.pdf","DMT10H032SDVWQ Datasheet")</f>
        <v>DMT10H032SDVWQ Datasheet</v>
      </c>
      <c r="C1348" t="s">
        <v>908</v>
      </c>
      <c r="D1348" t="s">
        <v>25</v>
      </c>
      <c r="E1348" t="s">
        <v>33</v>
      </c>
      <c r="F1348" t="s">
        <v>35</v>
      </c>
      <c r="G1348" t="s">
        <v>28</v>
      </c>
      <c r="H1348">
        <v>100</v>
      </c>
      <c r="I1348">
        <v>20</v>
      </c>
      <c r="J1348">
        <v>6</v>
      </c>
      <c r="L1348">
        <v>2.3</v>
      </c>
      <c r="N1348">
        <v>35</v>
      </c>
      <c r="R1348">
        <v>2</v>
      </c>
      <c r="S1348">
        <v>4</v>
      </c>
      <c r="T1348">
        <v>4.3</v>
      </c>
      <c r="U1348">
        <v>8</v>
      </c>
      <c r="V1348">
        <v>544</v>
      </c>
      <c r="W1348">
        <v>50</v>
      </c>
      <c r="X1348" t="s">
        <v>309</v>
      </c>
    </row>
    <row r="1349" spans="1:24">
      <c r="A1349" t="str">
        <f>Hyperlink("https://www.diodes.com/part/view/DMT10H032SFVW","DMT10H032SFVW")</f>
        <v>DMT10H032SFVW</v>
      </c>
      <c r="B1349" t="str">
        <f>Hyperlink("https://www.diodes.com/assets/Datasheets/DMT10H032SFVW.pdf","DMT10H032SFVW Datasheet")</f>
        <v>DMT10H032SFVW Datasheet</v>
      </c>
      <c r="C1349" t="s">
        <v>554</v>
      </c>
      <c r="D1349" t="s">
        <v>28</v>
      </c>
      <c r="E1349" t="s">
        <v>26</v>
      </c>
      <c r="F1349" t="s">
        <v>27</v>
      </c>
      <c r="G1349" t="s">
        <v>28</v>
      </c>
      <c r="H1349">
        <v>100</v>
      </c>
      <c r="I1349">
        <v>20</v>
      </c>
      <c r="K1349">
        <v>35</v>
      </c>
      <c r="N1349">
        <v>32</v>
      </c>
      <c r="S1349">
        <v>4</v>
      </c>
      <c r="T1349">
        <v>4.3</v>
      </c>
      <c r="U1349">
        <v>8</v>
      </c>
      <c r="V1349">
        <v>544</v>
      </c>
      <c r="W1349">
        <v>50</v>
      </c>
      <c r="X1349" t="s">
        <v>529</v>
      </c>
    </row>
    <row r="1350" spans="1:24">
      <c r="A1350" t="str">
        <f>Hyperlink("https://www.diodes.com/part/view/DMT10H052LFDF","DMT10H052LFDF")</f>
        <v>DMT10H052LFDF</v>
      </c>
      <c r="B1350" t="str">
        <f>Hyperlink("https://www.diodes.com/assets/Datasheets/DMT10H052LFDF.pdf","DMT10H052LFDF Datasheet")</f>
        <v>DMT10H052LFDF Datasheet</v>
      </c>
      <c r="C1350" t="s">
        <v>554</v>
      </c>
      <c r="D1350" t="s">
        <v>25</v>
      </c>
      <c r="E1350" t="s">
        <v>26</v>
      </c>
      <c r="F1350" t="s">
        <v>27</v>
      </c>
      <c r="G1350" t="s">
        <v>28</v>
      </c>
      <c r="H1350">
        <v>100</v>
      </c>
      <c r="I1350">
        <v>20</v>
      </c>
      <c r="J1350">
        <v>5</v>
      </c>
      <c r="L1350">
        <v>1.9</v>
      </c>
      <c r="N1350">
        <v>52</v>
      </c>
      <c r="O1350">
        <v>75</v>
      </c>
      <c r="S1350">
        <v>2.5</v>
      </c>
      <c r="T1350">
        <v>2.9</v>
      </c>
      <c r="U1350">
        <v>5.4</v>
      </c>
      <c r="V1350">
        <v>258</v>
      </c>
      <c r="W1350">
        <v>50</v>
      </c>
      <c r="X1350" t="s">
        <v>568</v>
      </c>
    </row>
    <row r="1351" spans="1:24">
      <c r="A1351" t="str">
        <f>Hyperlink("https://www.diodes.com/part/view/DMT10H072LDV","DMT10H072LDV")</f>
        <v>DMT10H072LDV</v>
      </c>
      <c r="B1351" t="str">
        <f>Hyperlink("https://www.diodes.com/assets/Datasheets/DMT10H072LDV.pdf","DMT10H072LDV Datasheet")</f>
        <v>DMT10H072LDV Datasheet</v>
      </c>
      <c r="C1351" t="s">
        <v>909</v>
      </c>
      <c r="D1351" t="s">
        <v>28</v>
      </c>
      <c r="E1351" t="s">
        <v>26</v>
      </c>
      <c r="F1351" t="s">
        <v>35</v>
      </c>
      <c r="G1351" t="s">
        <v>28</v>
      </c>
      <c r="H1351">
        <v>100</v>
      </c>
      <c r="I1351">
        <v>20</v>
      </c>
      <c r="J1351">
        <v>12</v>
      </c>
      <c r="L1351">
        <v>2.2</v>
      </c>
      <c r="N1351">
        <v>66</v>
      </c>
      <c r="O1351">
        <v>114</v>
      </c>
      <c r="R1351">
        <v>1</v>
      </c>
      <c r="S1351">
        <v>3</v>
      </c>
      <c r="T1351">
        <v>2.5</v>
      </c>
      <c r="U1351">
        <v>4.5</v>
      </c>
      <c r="V1351">
        <v>228</v>
      </c>
      <c r="W1351">
        <v>50</v>
      </c>
      <c r="X1351" t="s">
        <v>292</v>
      </c>
    </row>
    <row r="1352" spans="1:24">
      <c r="A1352" t="str">
        <f>Hyperlink("https://www.diodes.com/part/view/DMT10H072LFDF","DMT10H072LFDF")</f>
        <v>DMT10H072LFDF</v>
      </c>
      <c r="B1352" t="str">
        <f>Hyperlink("https://www.diodes.com/assets/Datasheets/DMT10H072LFDF.pdf","DMT10H072LFDF Datasheet")</f>
        <v>DMT10H072LFDF Datasheet</v>
      </c>
      <c r="C1352" t="s">
        <v>554</v>
      </c>
      <c r="D1352" t="s">
        <v>25</v>
      </c>
      <c r="E1352" t="s">
        <v>26</v>
      </c>
      <c r="F1352" t="s">
        <v>27</v>
      </c>
      <c r="G1352" t="s">
        <v>28</v>
      </c>
      <c r="H1352">
        <v>100</v>
      </c>
      <c r="I1352">
        <v>20</v>
      </c>
      <c r="J1352">
        <v>4</v>
      </c>
      <c r="L1352">
        <v>1.8</v>
      </c>
      <c r="N1352">
        <v>62</v>
      </c>
      <c r="O1352">
        <v>110</v>
      </c>
      <c r="S1352">
        <v>3</v>
      </c>
      <c r="T1352">
        <v>2.5</v>
      </c>
      <c r="U1352">
        <v>4.5</v>
      </c>
      <c r="V1352">
        <v>266</v>
      </c>
      <c r="W1352">
        <v>50</v>
      </c>
      <c r="X1352" t="s">
        <v>568</v>
      </c>
    </row>
    <row r="1353" spans="1:24">
      <c r="A1353" t="str">
        <f>Hyperlink("https://www.diodes.com/part/view/DMT10H072LFDFQ","DMT10H072LFDFQ")</f>
        <v>DMT10H072LFDFQ</v>
      </c>
      <c r="B1353" t="str">
        <f>Hyperlink("https://www.diodes.com/assets/Datasheets/DMT10H072LFDFQ.pdf","DMT10H072LFDFQ Datasheet")</f>
        <v>DMT10H072LFDFQ Datasheet</v>
      </c>
      <c r="C1353" t="s">
        <v>554</v>
      </c>
      <c r="D1353" t="s">
        <v>25</v>
      </c>
      <c r="E1353" t="s">
        <v>33</v>
      </c>
      <c r="F1353" t="s">
        <v>27</v>
      </c>
      <c r="G1353" t="s">
        <v>28</v>
      </c>
      <c r="H1353">
        <v>100</v>
      </c>
      <c r="I1353">
        <v>20</v>
      </c>
      <c r="J1353">
        <v>4</v>
      </c>
      <c r="L1353">
        <v>1.8</v>
      </c>
      <c r="N1353">
        <v>62</v>
      </c>
      <c r="O1353">
        <v>110</v>
      </c>
      <c r="S1353">
        <v>3</v>
      </c>
      <c r="T1353">
        <v>2.5</v>
      </c>
      <c r="U1353">
        <v>4.5</v>
      </c>
      <c r="V1353">
        <v>228</v>
      </c>
      <c r="W1353">
        <v>50</v>
      </c>
      <c r="X1353" t="s">
        <v>568</v>
      </c>
    </row>
    <row r="1354" spans="1:24">
      <c r="A1354" t="str">
        <f>Hyperlink("https://www.diodes.com/part/view/DMT10H072LFV","DMT10H072LFV")</f>
        <v>DMT10H072LFV</v>
      </c>
      <c r="B1354" t="str">
        <f>Hyperlink("https://www.diodes.com/assets/Datasheets/DMT10H072LFV.pdf","DMT10H072LFV Datasheet")</f>
        <v>DMT10H072LFV Datasheet</v>
      </c>
      <c r="C1354" t="s">
        <v>554</v>
      </c>
      <c r="D1354" t="s">
        <v>28</v>
      </c>
      <c r="E1354" t="s">
        <v>26</v>
      </c>
      <c r="F1354" t="s">
        <v>27</v>
      </c>
      <c r="G1354" t="s">
        <v>28</v>
      </c>
      <c r="H1354">
        <v>100</v>
      </c>
      <c r="I1354">
        <v>20</v>
      </c>
      <c r="J1354">
        <v>4.7</v>
      </c>
      <c r="K1354">
        <v>20</v>
      </c>
      <c r="L1354">
        <v>2</v>
      </c>
      <c r="M1354">
        <v>37.8</v>
      </c>
      <c r="N1354">
        <v>62</v>
      </c>
      <c r="O1354">
        <v>109</v>
      </c>
      <c r="S1354">
        <v>2.8</v>
      </c>
      <c r="T1354">
        <v>2.5</v>
      </c>
      <c r="U1354">
        <v>4.5</v>
      </c>
      <c r="V1354">
        <v>228</v>
      </c>
      <c r="W1354">
        <v>50</v>
      </c>
      <c r="X1354" t="s">
        <v>529</v>
      </c>
    </row>
    <row r="1355" spans="1:24">
      <c r="A1355" t="str">
        <f>Hyperlink("https://www.diodes.com/part/view/DMT10H075LE","DMT10H075LE")</f>
        <v>DMT10H075LE</v>
      </c>
      <c r="B1355" t="str">
        <f>Hyperlink("https://www.diodes.com/assets/Datasheets/DMT10H075LE.pdf","DMT10H075LE Datasheet")</f>
        <v>DMT10H075LE Datasheet</v>
      </c>
      <c r="C1355" t="s">
        <v>903</v>
      </c>
      <c r="D1355" t="s">
        <v>28</v>
      </c>
      <c r="E1355" t="s">
        <v>26</v>
      </c>
      <c r="F1355" t="s">
        <v>27</v>
      </c>
      <c r="G1355" t="s">
        <v>28</v>
      </c>
      <c r="H1355">
        <v>100</v>
      </c>
      <c r="I1355">
        <v>20</v>
      </c>
      <c r="J1355">
        <v>4</v>
      </c>
      <c r="M1355">
        <v>2.4</v>
      </c>
      <c r="N1355">
        <v>65</v>
      </c>
      <c r="O1355">
        <v>105</v>
      </c>
      <c r="R1355">
        <v>1</v>
      </c>
      <c r="S1355">
        <v>3</v>
      </c>
      <c r="T1355">
        <v>2.5</v>
      </c>
      <c r="U1355">
        <v>4.5</v>
      </c>
      <c r="V1355">
        <v>228</v>
      </c>
      <c r="W1355">
        <v>50</v>
      </c>
      <c r="X1355" t="s">
        <v>586</v>
      </c>
    </row>
    <row r="1356" spans="1:24">
      <c r="A1356" t="str">
        <f>Hyperlink("https://www.diodes.com/part/view/DMT10H4M5LPS","DMT10H4M5LPS")</f>
        <v>DMT10H4M5LPS</v>
      </c>
      <c r="B1356" t="str">
        <f>Hyperlink("https://www.diodes.com/assets/Datasheets/DMT10H4M5LPS.pdf","DMT10H4M5LPS Datasheet")</f>
        <v>DMT10H4M5LPS Datasheet</v>
      </c>
      <c r="C1356" t="s">
        <v>554</v>
      </c>
      <c r="D1356" t="s">
        <v>28</v>
      </c>
      <c r="E1356" t="s">
        <v>26</v>
      </c>
      <c r="F1356" t="s">
        <v>27</v>
      </c>
      <c r="G1356" t="s">
        <v>28</v>
      </c>
      <c r="H1356">
        <v>100</v>
      </c>
      <c r="I1356">
        <v>20</v>
      </c>
      <c r="J1356">
        <v>19</v>
      </c>
      <c r="K1356">
        <v>100</v>
      </c>
      <c r="L1356">
        <v>2.3</v>
      </c>
      <c r="M1356">
        <v>113</v>
      </c>
      <c r="N1356">
        <v>4.3</v>
      </c>
      <c r="O1356">
        <v>6.2</v>
      </c>
      <c r="S1356">
        <v>2.5</v>
      </c>
      <c r="U1356">
        <v>80</v>
      </c>
      <c r="V1356">
        <v>4843</v>
      </c>
      <c r="W1356">
        <v>50</v>
      </c>
      <c r="X1356" t="s">
        <v>617</v>
      </c>
    </row>
    <row r="1357" spans="1:24">
      <c r="A1357" t="str">
        <f>Hyperlink("https://www.diodes.com/part/view/DMT10H9M9LCT","DMT10H9M9LCT")</f>
        <v>DMT10H9M9LCT</v>
      </c>
      <c r="B1357" t="str">
        <f>Hyperlink("https://www.diodes.com/assets/Datasheets/DMT10H9M9LCT.pdf","DMT10H9M9LCT Datasheet")</f>
        <v>DMT10H9M9LCT Datasheet</v>
      </c>
      <c r="C1357" t="s">
        <v>554</v>
      </c>
      <c r="D1357" t="s">
        <v>28</v>
      </c>
      <c r="E1357" t="s">
        <v>26</v>
      </c>
      <c r="F1357" t="s">
        <v>27</v>
      </c>
      <c r="G1357" t="s">
        <v>28</v>
      </c>
      <c r="H1357">
        <v>100</v>
      </c>
      <c r="I1357">
        <v>20</v>
      </c>
      <c r="K1357">
        <v>101</v>
      </c>
      <c r="L1357">
        <v>2.3</v>
      </c>
      <c r="M1357">
        <v>156</v>
      </c>
      <c r="N1357">
        <v>8.5</v>
      </c>
      <c r="O1357">
        <v>14</v>
      </c>
      <c r="S1357">
        <v>2.5</v>
      </c>
      <c r="U1357">
        <v>40.2</v>
      </c>
      <c r="V1357">
        <v>2309</v>
      </c>
      <c r="W1357">
        <v>50</v>
      </c>
      <c r="X1357" t="s">
        <v>753</v>
      </c>
    </row>
    <row r="1358" spans="1:24">
      <c r="A1358" t="str">
        <f>Hyperlink("https://www.diodes.com/part/view/DMT10H9M9SCT","DMT10H9M9SCT")</f>
        <v>DMT10H9M9SCT</v>
      </c>
      <c r="B1358" t="str">
        <f>Hyperlink("https://www.diodes.com/assets/Datasheets/DMT10H9M9SCT.pdf","DMT10H9M9SCT Datasheet")</f>
        <v>DMT10H9M9SCT Datasheet</v>
      </c>
      <c r="C1358" t="s">
        <v>554</v>
      </c>
      <c r="D1358" t="s">
        <v>28</v>
      </c>
      <c r="E1358" t="s">
        <v>26</v>
      </c>
      <c r="F1358" t="s">
        <v>27</v>
      </c>
      <c r="G1358" t="s">
        <v>28</v>
      </c>
      <c r="H1358">
        <v>100</v>
      </c>
      <c r="I1358">
        <v>20</v>
      </c>
      <c r="K1358">
        <v>99</v>
      </c>
      <c r="L1358">
        <v>2.3</v>
      </c>
      <c r="M1358">
        <v>156</v>
      </c>
      <c r="N1358">
        <v>8.8</v>
      </c>
      <c r="S1358">
        <v>3.9</v>
      </c>
      <c r="U1358">
        <v>30</v>
      </c>
      <c r="V1358">
        <v>2085</v>
      </c>
      <c r="W1358">
        <v>50</v>
      </c>
      <c r="X1358" t="s">
        <v>753</v>
      </c>
    </row>
    <row r="1359" spans="1:24">
      <c r="A1359" t="str">
        <f>Hyperlink("https://www.diodes.com/part/view/DMT10H9M9SH3","DMT10H9M9SH3")</f>
        <v>DMT10H9M9SH3</v>
      </c>
      <c r="B1359" t="str">
        <f>Hyperlink("https://www.diodes.com/assets/Datasheets/DMT10H9M9SH3.pdf","DMT10H9M9SH3 Datasheet")</f>
        <v>DMT10H9M9SH3 Datasheet</v>
      </c>
      <c r="C1359" t="s">
        <v>554</v>
      </c>
      <c r="D1359" t="s">
        <v>28</v>
      </c>
      <c r="E1359" t="s">
        <v>26</v>
      </c>
      <c r="F1359" t="s">
        <v>27</v>
      </c>
      <c r="G1359" t="s">
        <v>28</v>
      </c>
      <c r="H1359">
        <v>100</v>
      </c>
      <c r="I1359">
        <v>20</v>
      </c>
      <c r="K1359">
        <v>84</v>
      </c>
      <c r="L1359">
        <v>3</v>
      </c>
      <c r="N1359">
        <v>9</v>
      </c>
      <c r="S1359">
        <v>4</v>
      </c>
      <c r="U1359">
        <v>30</v>
      </c>
      <c r="V1359">
        <v>2085</v>
      </c>
      <c r="W1359">
        <v>50</v>
      </c>
      <c r="X1359" t="s">
        <v>902</v>
      </c>
    </row>
    <row r="1360" spans="1:24">
      <c r="A1360" t="str">
        <f>Hyperlink("https://www.diodes.com/part/view/DMT12H007LPS","DMT12H007LPS")</f>
        <v>DMT12H007LPS</v>
      </c>
      <c r="B1360" t="str">
        <f>Hyperlink("https://www.diodes.com/assets/Datasheets/DMT12H007LPS.pdf","DMT12H007LPS Datasheet")</f>
        <v>DMT12H007LPS Datasheet</v>
      </c>
      <c r="C1360" t="s">
        <v>910</v>
      </c>
      <c r="D1360" t="s">
        <v>28</v>
      </c>
      <c r="E1360" t="s">
        <v>26</v>
      </c>
      <c r="F1360" t="s">
        <v>27</v>
      </c>
      <c r="G1360" t="s">
        <v>28</v>
      </c>
      <c r="H1360">
        <v>120</v>
      </c>
      <c r="I1360">
        <v>20</v>
      </c>
      <c r="K1360">
        <v>90</v>
      </c>
      <c r="L1360">
        <v>2.9</v>
      </c>
      <c r="M1360">
        <v>96</v>
      </c>
      <c r="N1360">
        <v>7.8</v>
      </c>
      <c r="O1360">
        <v>14.1</v>
      </c>
      <c r="S1360">
        <v>2.5</v>
      </c>
      <c r="U1360">
        <v>49</v>
      </c>
      <c r="V1360">
        <v>3224</v>
      </c>
      <c r="W1360">
        <v>60</v>
      </c>
      <c r="X1360" t="s">
        <v>617</v>
      </c>
    </row>
    <row r="1361" spans="1:24">
      <c r="A1361" t="str">
        <f>Hyperlink("https://www.diodes.com/part/view/DMT12H007SPS","DMT12H007SPS")</f>
        <v>DMT12H007SPS</v>
      </c>
      <c r="B1361" t="str">
        <f>Hyperlink("https://www.diodes.com/assets/Datasheets/DMT12H007SPS.pdf","DMT12H007SPS Datasheet")</f>
        <v>DMT12H007SPS Datasheet</v>
      </c>
      <c r="C1361" t="s">
        <v>910</v>
      </c>
      <c r="D1361" t="s">
        <v>28</v>
      </c>
      <c r="E1361" t="s">
        <v>26</v>
      </c>
      <c r="F1361" t="s">
        <v>27</v>
      </c>
      <c r="G1361" t="s">
        <v>28</v>
      </c>
      <c r="H1361">
        <v>120</v>
      </c>
      <c r="I1361">
        <v>20</v>
      </c>
      <c r="K1361">
        <v>80</v>
      </c>
      <c r="L1361">
        <v>2.9</v>
      </c>
      <c r="M1361">
        <v>104</v>
      </c>
      <c r="N1361">
        <v>8.9</v>
      </c>
      <c r="S1361">
        <v>4</v>
      </c>
      <c r="U1361">
        <v>44</v>
      </c>
      <c r="V1361">
        <v>3142</v>
      </c>
      <c r="W1361">
        <v>60</v>
      </c>
      <c r="X1361" t="s">
        <v>617</v>
      </c>
    </row>
    <row r="1362" spans="1:24">
      <c r="A1362" t="str">
        <f>Hyperlink("https://www.diodes.com/part/view/DMT12H060LCA9","DMT12H060LCA9")</f>
        <v>DMT12H060LCA9</v>
      </c>
      <c r="B1362" t="str">
        <f>Hyperlink("https://www.diodes.com/assets/Datasheets/DMT12H060LCA9.pdf","DMT12H060LCA9 Datasheet")</f>
        <v>DMT12H060LCA9 Datasheet</v>
      </c>
      <c r="C1362" t="s">
        <v>911</v>
      </c>
      <c r="D1362" t="s">
        <v>28</v>
      </c>
      <c r="E1362" t="s">
        <v>26</v>
      </c>
      <c r="F1362" t="s">
        <v>27</v>
      </c>
      <c r="G1362" t="s">
        <v>25</v>
      </c>
      <c r="H1362">
        <v>115</v>
      </c>
      <c r="I1362">
        <v>5.5</v>
      </c>
      <c r="J1362">
        <v>3.5</v>
      </c>
      <c r="L1362">
        <v>1.9</v>
      </c>
      <c r="O1362">
        <v>85</v>
      </c>
      <c r="P1362">
        <v>90</v>
      </c>
      <c r="R1362">
        <v>0.5</v>
      </c>
      <c r="S1362">
        <v>1.4</v>
      </c>
      <c r="V1362">
        <v>560</v>
      </c>
      <c r="W1362">
        <v>50</v>
      </c>
      <c r="X1362" t="s">
        <v>912</v>
      </c>
    </row>
    <row r="1363" spans="1:24">
      <c r="A1363" t="str">
        <f>Hyperlink("https://www.diodes.com/part/view/DMT12H060LFDF","DMT12H060LFDF")</f>
        <v>DMT12H060LFDF</v>
      </c>
      <c r="B1363" t="str">
        <f>Hyperlink("https://www.diodes.com/assets/Datasheets/DMT12H060LFDF.pdf","DMT12H060LFDF Datasheet")</f>
        <v>DMT12H060LFDF Datasheet</v>
      </c>
      <c r="C1363" t="s">
        <v>911</v>
      </c>
      <c r="D1363" t="s">
        <v>28</v>
      </c>
      <c r="E1363" t="s">
        <v>26</v>
      </c>
      <c r="F1363" t="s">
        <v>27</v>
      </c>
      <c r="G1363" t="s">
        <v>25</v>
      </c>
      <c r="H1363">
        <v>115</v>
      </c>
      <c r="I1363">
        <v>8</v>
      </c>
      <c r="J1363">
        <v>4.4</v>
      </c>
      <c r="L1363">
        <v>2</v>
      </c>
      <c r="O1363">
        <v>65</v>
      </c>
      <c r="P1363">
        <v>70</v>
      </c>
      <c r="R1363">
        <v>0.5</v>
      </c>
      <c r="S1363">
        <v>1.4</v>
      </c>
      <c r="T1363">
        <v>7.8</v>
      </c>
      <c r="V1363">
        <v>475</v>
      </c>
      <c r="W1363">
        <v>50</v>
      </c>
      <c r="X1363" t="s">
        <v>568</v>
      </c>
    </row>
    <row r="1364" spans="1:24">
      <c r="A1364" t="str">
        <f>Hyperlink("https://www.diodes.com/part/view/DMT12H065LFDF","DMT12H065LFDF")</f>
        <v>DMT12H065LFDF</v>
      </c>
      <c r="B1364" t="str">
        <f>Hyperlink("https://www.diodes.com/assets/Datasheets/DMT12H065LFDF.pdf","DMT12H065LFDF Datasheet")</f>
        <v>DMT12H065LFDF Datasheet</v>
      </c>
      <c r="C1364" t="s">
        <v>911</v>
      </c>
      <c r="D1364" t="s">
        <v>28</v>
      </c>
      <c r="E1364" t="s">
        <v>26</v>
      </c>
      <c r="F1364" t="s">
        <v>27</v>
      </c>
      <c r="G1364" t="s">
        <v>28</v>
      </c>
      <c r="H1364">
        <v>115</v>
      </c>
      <c r="I1364">
        <v>12</v>
      </c>
      <c r="J1364">
        <v>4.3</v>
      </c>
      <c r="L1364">
        <v>1.8</v>
      </c>
      <c r="N1364">
        <v>65</v>
      </c>
      <c r="O1364">
        <v>70</v>
      </c>
      <c r="S1364">
        <v>2.2</v>
      </c>
      <c r="U1364">
        <v>5.5</v>
      </c>
      <c r="V1364">
        <v>252</v>
      </c>
      <c r="W1364">
        <v>50</v>
      </c>
      <c r="X1364" t="s">
        <v>568</v>
      </c>
    </row>
    <row r="1365" spans="1:24">
      <c r="A1365" t="str">
        <f>Hyperlink("https://www.diodes.com/part/view/DMT12H090LFDF4","DMT12H090LFDF4")</f>
        <v>DMT12H090LFDF4</v>
      </c>
      <c r="B1365" t="str">
        <f>Hyperlink("https://www.diodes.com/assets/Datasheets/DMT12H090LFDF4.pdf","DMT12H090LFDF4 Datasheet")</f>
        <v>DMT12H090LFDF4 Datasheet</v>
      </c>
      <c r="C1365" t="s">
        <v>911</v>
      </c>
      <c r="D1365" t="s">
        <v>28</v>
      </c>
      <c r="E1365" t="s">
        <v>26</v>
      </c>
      <c r="F1365" t="s">
        <v>27</v>
      </c>
      <c r="G1365" t="s">
        <v>28</v>
      </c>
      <c r="H1365">
        <v>115</v>
      </c>
      <c r="I1365">
        <v>12</v>
      </c>
      <c r="J1365">
        <v>3.4</v>
      </c>
      <c r="L1365">
        <v>1.6</v>
      </c>
      <c r="N1365">
        <v>90</v>
      </c>
      <c r="O1365">
        <v>100</v>
      </c>
      <c r="S1365">
        <v>2.2</v>
      </c>
      <c r="U1365">
        <v>6</v>
      </c>
      <c r="V1365">
        <v>251</v>
      </c>
      <c r="W1365">
        <v>50</v>
      </c>
      <c r="X1365" t="s">
        <v>913</v>
      </c>
    </row>
    <row r="1366" spans="1:24">
      <c r="A1366" t="str">
        <f>Hyperlink("https://www.diodes.com/part/view/DMT15H017LPS","DMT15H017LPS")</f>
        <v>DMT15H017LPS</v>
      </c>
      <c r="B1366" t="str">
        <f>Hyperlink("https://www.diodes.com/assets/Datasheets/DMT15H017LPS.pdf","DMT15H017LPS Datasheet")</f>
        <v>DMT15H017LPS Datasheet</v>
      </c>
      <c r="C1366" t="s">
        <v>604</v>
      </c>
      <c r="D1366" t="s">
        <v>28</v>
      </c>
      <c r="E1366" t="s">
        <v>26</v>
      </c>
      <c r="F1366" t="s">
        <v>27</v>
      </c>
      <c r="G1366" t="s">
        <v>28</v>
      </c>
      <c r="H1366">
        <v>150</v>
      </c>
      <c r="I1366">
        <v>20</v>
      </c>
      <c r="J1366">
        <v>9.4</v>
      </c>
      <c r="K1366">
        <v>58</v>
      </c>
      <c r="L1366">
        <v>2.3</v>
      </c>
      <c r="M1366">
        <v>89</v>
      </c>
      <c r="N1366">
        <v>17.5</v>
      </c>
      <c r="O1366">
        <v>25.5</v>
      </c>
      <c r="S1366">
        <v>2.6</v>
      </c>
      <c r="U1366">
        <v>50</v>
      </c>
      <c r="V1366">
        <v>3369</v>
      </c>
      <c r="W1366">
        <v>75</v>
      </c>
      <c r="X1366" t="s">
        <v>617</v>
      </c>
    </row>
    <row r="1367" spans="1:24">
      <c r="A1367" t="str">
        <f>Hyperlink("https://www.diodes.com/part/view/DMT15H017LPSW","DMT15H017LPSW")</f>
        <v>DMT15H017LPSW</v>
      </c>
      <c r="B1367" t="str">
        <f>Hyperlink("https://www.diodes.com/assets/Datasheets/DMT15H017LPSW.pdf","DMT15H017LPSW Datasheet")</f>
        <v>DMT15H017LPSW Datasheet</v>
      </c>
      <c r="C1367" t="s">
        <v>914</v>
      </c>
      <c r="D1367" t="s">
        <v>28</v>
      </c>
      <c r="E1367" t="s">
        <v>26</v>
      </c>
      <c r="F1367" t="s">
        <v>27</v>
      </c>
      <c r="G1367" t="s">
        <v>28</v>
      </c>
      <c r="H1367">
        <v>150</v>
      </c>
      <c r="I1367">
        <v>20</v>
      </c>
      <c r="J1367">
        <v>9.4</v>
      </c>
      <c r="K1367">
        <v>58</v>
      </c>
      <c r="L1367">
        <v>2.3</v>
      </c>
      <c r="M1367">
        <v>89</v>
      </c>
      <c r="N1367">
        <v>17.5</v>
      </c>
      <c r="O1367">
        <v>25.5</v>
      </c>
      <c r="S1367">
        <v>2.6</v>
      </c>
      <c r="U1367">
        <v>50</v>
      </c>
      <c r="V1367">
        <v>3369</v>
      </c>
      <c r="W1367">
        <v>75</v>
      </c>
      <c r="X1367" t="s">
        <v>757</v>
      </c>
    </row>
    <row r="1368" spans="1:24">
      <c r="A1368" t="str">
        <f>Hyperlink("https://www.diodes.com/part/view/DMT15H017SK3","DMT15H017SK3")</f>
        <v>DMT15H017SK3</v>
      </c>
      <c r="B1368" t="str">
        <f>Hyperlink("https://www.diodes.com/assets/Datasheets/DMT15H017SK3.pdf","DMT15H017SK3 Datasheet")</f>
        <v>DMT15H017SK3 Datasheet</v>
      </c>
      <c r="C1368" t="s">
        <v>604</v>
      </c>
      <c r="D1368" t="s">
        <v>28</v>
      </c>
      <c r="E1368" t="s">
        <v>26</v>
      </c>
      <c r="F1368" t="s">
        <v>27</v>
      </c>
      <c r="G1368" t="s">
        <v>28</v>
      </c>
      <c r="H1368">
        <v>150</v>
      </c>
      <c r="I1368">
        <v>20</v>
      </c>
      <c r="K1368">
        <v>68</v>
      </c>
      <c r="L1368">
        <v>3.2</v>
      </c>
      <c r="N1368">
        <v>18.5</v>
      </c>
      <c r="S1368">
        <v>4</v>
      </c>
      <c r="U1368">
        <v>34</v>
      </c>
      <c r="V1368">
        <v>2344</v>
      </c>
      <c r="W1368">
        <v>75</v>
      </c>
      <c r="X1368" t="s">
        <v>507</v>
      </c>
    </row>
    <row r="1369" spans="1:24">
      <c r="A1369" t="str">
        <f>Hyperlink("https://www.diodes.com/part/view/DMT15H035SCT","DMT15H035SCT")</f>
        <v>DMT15H035SCT</v>
      </c>
      <c r="B1369" t="str">
        <f>Hyperlink("https://www.diodes.com/assets/Datasheets/DMT15H035SCT.pdf","DMT15H035SCT Datasheet")</f>
        <v>DMT15H035SCT Datasheet</v>
      </c>
      <c r="D1369" t="s">
        <v>28</v>
      </c>
      <c r="E1369" t="s">
        <v>26</v>
      </c>
      <c r="F1369" t="s">
        <v>27</v>
      </c>
      <c r="G1369" t="s">
        <v>28</v>
      </c>
      <c r="H1369">
        <v>150</v>
      </c>
      <c r="I1369">
        <v>20</v>
      </c>
      <c r="K1369">
        <v>46</v>
      </c>
      <c r="L1369">
        <v>2.2</v>
      </c>
      <c r="M1369">
        <v>166</v>
      </c>
      <c r="N1369">
        <v>35</v>
      </c>
      <c r="S1369">
        <v>4</v>
      </c>
      <c r="U1369">
        <v>25</v>
      </c>
      <c r="V1369">
        <v>1600</v>
      </c>
      <c r="W1369">
        <v>75</v>
      </c>
      <c r="X1369" t="s">
        <v>753</v>
      </c>
    </row>
    <row r="1370" spans="1:24">
      <c r="A1370" t="str">
        <f>Hyperlink("https://www.diodes.com/part/view/DMT15H053SK3","DMT15H053SK3")</f>
        <v>DMT15H053SK3</v>
      </c>
      <c r="B1370" t="str">
        <f>Hyperlink("https://www.diodes.com/assets/Datasheets/DMT15H053SK3.pdf","DMT15H053SK3 Datasheet")</f>
        <v>DMT15H053SK3 Datasheet</v>
      </c>
      <c r="C1370" t="s">
        <v>604</v>
      </c>
      <c r="D1370" t="s">
        <v>28</v>
      </c>
      <c r="E1370" t="s">
        <v>26</v>
      </c>
      <c r="F1370" t="s">
        <v>27</v>
      </c>
      <c r="G1370" t="s">
        <v>28</v>
      </c>
      <c r="H1370">
        <v>150</v>
      </c>
      <c r="I1370">
        <v>20</v>
      </c>
      <c r="K1370">
        <v>21</v>
      </c>
      <c r="L1370">
        <v>2.8</v>
      </c>
      <c r="M1370">
        <v>60</v>
      </c>
      <c r="N1370">
        <v>60</v>
      </c>
      <c r="R1370">
        <v>2</v>
      </c>
      <c r="S1370">
        <v>4</v>
      </c>
      <c r="U1370">
        <v>11.5</v>
      </c>
      <c r="V1370">
        <v>814</v>
      </c>
      <c r="W1370">
        <v>75</v>
      </c>
      <c r="X1370" t="s">
        <v>507</v>
      </c>
    </row>
    <row r="1371" spans="1:24">
      <c r="A1371" t="str">
        <f>Hyperlink("https://www.diodes.com/part/view/DMT15H053SPSW","DMT15H053SPSW")</f>
        <v>DMT15H053SPSW</v>
      </c>
      <c r="B1371" t="str">
        <f>Hyperlink("https://www.diodes.com/assets/Datasheets/DMT15H053SPSW.pdf","DMT15H053SPSW Datasheet")</f>
        <v>DMT15H053SPSW Datasheet</v>
      </c>
      <c r="C1371" t="s">
        <v>915</v>
      </c>
      <c r="D1371" t="s">
        <v>25</v>
      </c>
      <c r="E1371" t="s">
        <v>26</v>
      </c>
      <c r="F1371" t="s">
        <v>27</v>
      </c>
      <c r="G1371" t="s">
        <v>28</v>
      </c>
      <c r="H1371">
        <v>150</v>
      </c>
      <c r="I1371">
        <v>20</v>
      </c>
      <c r="K1371">
        <v>24</v>
      </c>
      <c r="L1371">
        <v>3.3</v>
      </c>
      <c r="M1371">
        <v>90</v>
      </c>
      <c r="N1371">
        <v>66</v>
      </c>
      <c r="R1371">
        <v>2</v>
      </c>
      <c r="S1371">
        <v>4</v>
      </c>
      <c r="U1371">
        <v>11.5</v>
      </c>
      <c r="V1371">
        <v>814</v>
      </c>
      <c r="W1371">
        <v>75</v>
      </c>
      <c r="X1371" t="s">
        <v>757</v>
      </c>
    </row>
    <row r="1372" spans="1:24">
      <c r="A1372" t="str">
        <f>Hyperlink("https://www.diodes.com/part/view/DMT15H053SPSWQ","DMT15H053SPSWQ")</f>
        <v>DMT15H053SPSWQ</v>
      </c>
      <c r="B1372" t="str">
        <f>Hyperlink("https://www.diodes.com/assets/Datasheets/DMT15H053SPSWQ.pdf","DMT15H053SPSWQ Datasheet")</f>
        <v>DMT15H053SPSWQ Datasheet</v>
      </c>
      <c r="C1372" t="s">
        <v>915</v>
      </c>
      <c r="D1372" t="s">
        <v>25</v>
      </c>
      <c r="E1372" t="s">
        <v>33</v>
      </c>
      <c r="F1372" t="s">
        <v>27</v>
      </c>
      <c r="G1372" t="s">
        <v>28</v>
      </c>
      <c r="H1372">
        <v>150</v>
      </c>
      <c r="I1372">
        <v>20</v>
      </c>
      <c r="K1372">
        <v>24</v>
      </c>
      <c r="L1372">
        <v>3.3</v>
      </c>
      <c r="M1372">
        <v>90</v>
      </c>
      <c r="N1372">
        <v>66</v>
      </c>
      <c r="R1372">
        <v>2</v>
      </c>
      <c r="S1372">
        <v>4</v>
      </c>
      <c r="U1372">
        <v>11.5</v>
      </c>
      <c r="V1372">
        <v>814</v>
      </c>
      <c r="W1372">
        <v>75</v>
      </c>
      <c r="X1372" t="s">
        <v>757</v>
      </c>
    </row>
    <row r="1373" spans="1:24">
      <c r="A1373" t="str">
        <f>Hyperlink("https://www.diodes.com/part/view/DMT15H053SSS","DMT15H053SSS")</f>
        <v>DMT15H053SSS</v>
      </c>
      <c r="B1373" t="str">
        <f>Hyperlink("https://www.diodes.com/assets/Datasheets/DMT15H053SSS.pdf","DMT15H053SSS Datasheet")</f>
        <v>DMT15H053SSS Datasheet</v>
      </c>
      <c r="C1373" t="s">
        <v>604</v>
      </c>
      <c r="D1373" t="s">
        <v>28</v>
      </c>
      <c r="E1373" t="s">
        <v>26</v>
      </c>
      <c r="F1373" t="s">
        <v>27</v>
      </c>
      <c r="G1373" t="s">
        <v>28</v>
      </c>
      <c r="H1373">
        <v>150</v>
      </c>
      <c r="I1373">
        <v>20</v>
      </c>
      <c r="J1373">
        <v>5.2</v>
      </c>
      <c r="K1373">
        <v>15</v>
      </c>
      <c r="L1373">
        <v>2</v>
      </c>
      <c r="N1373">
        <v>53</v>
      </c>
      <c r="S1373">
        <v>4</v>
      </c>
      <c r="U1373">
        <v>11.5</v>
      </c>
      <c r="V1373">
        <v>814</v>
      </c>
      <c r="W1373">
        <v>75</v>
      </c>
      <c r="X1373" t="s">
        <v>155</v>
      </c>
    </row>
    <row r="1374" spans="1:24">
      <c r="A1374" t="str">
        <f>Hyperlink("https://www.diodes.com/part/view/DMT15H067SSS","DMT15H067SSS")</f>
        <v>DMT15H067SSS</v>
      </c>
      <c r="B1374" t="str">
        <f>Hyperlink("https://www.diodes.com/assets/Datasheets/DMT15H067SSS.pdf","DMT15H067SSS Datasheet")</f>
        <v>DMT15H067SSS Datasheet</v>
      </c>
      <c r="C1374" t="s">
        <v>604</v>
      </c>
      <c r="D1374" t="s">
        <v>28</v>
      </c>
      <c r="E1374" t="s">
        <v>26</v>
      </c>
      <c r="F1374" t="s">
        <v>27</v>
      </c>
      <c r="G1374" t="s">
        <v>28</v>
      </c>
      <c r="H1374">
        <v>150</v>
      </c>
      <c r="I1374">
        <v>20</v>
      </c>
      <c r="J1374">
        <v>4.5</v>
      </c>
      <c r="K1374">
        <v>13</v>
      </c>
      <c r="L1374">
        <v>2</v>
      </c>
      <c r="N1374">
        <v>67</v>
      </c>
      <c r="S1374">
        <v>4</v>
      </c>
      <c r="U1374">
        <v>6.4</v>
      </c>
      <c r="V1374">
        <v>425</v>
      </c>
      <c r="W1374">
        <v>75</v>
      </c>
      <c r="X1374" t="s">
        <v>155</v>
      </c>
    </row>
    <row r="1375" spans="1:24">
      <c r="A1375" t="str">
        <f>Hyperlink("https://www.diodes.com/part/view/DMT2004UFDF","DMT2004UFDF")</f>
        <v>DMT2004UFDF</v>
      </c>
      <c r="B1375" t="str">
        <f>Hyperlink("https://www.diodes.com/assets/Datasheets/DMT2004UFDF.pdf","DMT2004UFDF Datasheet")</f>
        <v>DMT2004UFDF Datasheet</v>
      </c>
      <c r="C1375" t="s">
        <v>24</v>
      </c>
      <c r="D1375" t="s">
        <v>28</v>
      </c>
      <c r="E1375" t="s">
        <v>26</v>
      </c>
      <c r="F1375" t="s">
        <v>27</v>
      </c>
      <c r="G1375" t="s">
        <v>28</v>
      </c>
      <c r="H1375">
        <v>24</v>
      </c>
      <c r="I1375">
        <v>12</v>
      </c>
      <c r="J1375">
        <v>14.1</v>
      </c>
      <c r="L1375">
        <v>1.8</v>
      </c>
      <c r="N1375">
        <v>6</v>
      </c>
      <c r="O1375">
        <v>7.2</v>
      </c>
      <c r="P1375">
        <v>12.5</v>
      </c>
      <c r="R1375">
        <v>0.55</v>
      </c>
      <c r="S1375">
        <v>1.45</v>
      </c>
      <c r="T1375">
        <v>29.6</v>
      </c>
      <c r="U1375">
        <v>53.7</v>
      </c>
      <c r="V1375">
        <v>1683</v>
      </c>
      <c r="W1375">
        <v>15</v>
      </c>
      <c r="X1375" t="s">
        <v>568</v>
      </c>
    </row>
    <row r="1376" spans="1:24">
      <c r="A1376" t="str">
        <f>Hyperlink("https://www.diodes.com/part/view/DMT2004UFG","DMT2004UFG")</f>
        <v>DMT2004UFG</v>
      </c>
      <c r="B1376" t="str">
        <f>Hyperlink("https://www.diodes.com/assets/Datasheets/DMT2004UFG.pdf","DMT2004UFG Datasheet")</f>
        <v>DMT2004UFG Datasheet</v>
      </c>
      <c r="C1376" t="s">
        <v>24</v>
      </c>
      <c r="D1376" t="s">
        <v>28</v>
      </c>
      <c r="E1376" t="s">
        <v>26</v>
      </c>
      <c r="F1376" t="s">
        <v>27</v>
      </c>
      <c r="G1376" t="s">
        <v>28</v>
      </c>
      <c r="H1376">
        <v>24</v>
      </c>
      <c r="I1376">
        <v>12</v>
      </c>
      <c r="K1376">
        <v>70</v>
      </c>
      <c r="L1376">
        <v>2.3</v>
      </c>
      <c r="N1376">
        <v>5</v>
      </c>
      <c r="O1376">
        <v>6.5</v>
      </c>
      <c r="P1376">
        <v>10</v>
      </c>
      <c r="R1376">
        <v>0.55</v>
      </c>
      <c r="S1376">
        <v>1.45</v>
      </c>
      <c r="T1376">
        <v>29.6</v>
      </c>
      <c r="U1376">
        <v>53.7</v>
      </c>
      <c r="V1376">
        <v>1683</v>
      </c>
      <c r="W1376">
        <v>15</v>
      </c>
      <c r="X1376" t="s">
        <v>529</v>
      </c>
    </row>
    <row r="1377" spans="1:24">
      <c r="A1377" t="str">
        <f>Hyperlink("https://www.diodes.com/part/view/DMT2004UFV","DMT2004UFV")</f>
        <v>DMT2004UFV</v>
      </c>
      <c r="B1377" t="str">
        <f>Hyperlink("https://www.diodes.com/assets/Datasheets/DMT2004UFV.pdf","DMT2004UFV Datasheet")</f>
        <v>DMT2004UFV Datasheet</v>
      </c>
      <c r="C1377" t="s">
        <v>24</v>
      </c>
      <c r="D1377" t="s">
        <v>28</v>
      </c>
      <c r="E1377" t="s">
        <v>26</v>
      </c>
      <c r="F1377" t="s">
        <v>27</v>
      </c>
      <c r="G1377" t="s">
        <v>28</v>
      </c>
      <c r="H1377">
        <v>24</v>
      </c>
      <c r="I1377">
        <v>12</v>
      </c>
      <c r="K1377">
        <v>70</v>
      </c>
      <c r="L1377">
        <v>2.3</v>
      </c>
      <c r="N1377">
        <v>5</v>
      </c>
      <c r="O1377">
        <v>6.5</v>
      </c>
      <c r="P1377">
        <v>10</v>
      </c>
      <c r="R1377">
        <v>0.55</v>
      </c>
      <c r="S1377">
        <v>1.45</v>
      </c>
      <c r="T1377">
        <v>29.6</v>
      </c>
      <c r="U1377">
        <v>53.7</v>
      </c>
      <c r="V1377">
        <v>1683</v>
      </c>
      <c r="W1377">
        <v>15</v>
      </c>
      <c r="X1377" t="s">
        <v>570</v>
      </c>
    </row>
    <row r="1378" spans="1:24">
      <c r="A1378" t="str">
        <f>Hyperlink("https://www.diodes.com/part/view/DMT2004UPS","DMT2004UPS")</f>
        <v>DMT2004UPS</v>
      </c>
      <c r="B1378" t="str">
        <f>Hyperlink("https://www.diodes.com/assets/Datasheets/DMT2004UPS.pdf","DMT2004UPS Datasheet")</f>
        <v>DMT2004UPS Datasheet</v>
      </c>
      <c r="C1378" t="s">
        <v>24</v>
      </c>
      <c r="D1378" t="s">
        <v>28</v>
      </c>
      <c r="E1378" t="s">
        <v>26</v>
      </c>
      <c r="F1378" t="s">
        <v>27</v>
      </c>
      <c r="G1378" t="s">
        <v>28</v>
      </c>
      <c r="H1378">
        <v>24</v>
      </c>
      <c r="I1378">
        <v>12</v>
      </c>
      <c r="K1378">
        <v>80</v>
      </c>
      <c r="L1378">
        <v>3</v>
      </c>
      <c r="N1378">
        <v>5</v>
      </c>
      <c r="O1378">
        <v>6.5</v>
      </c>
      <c r="P1378">
        <v>10</v>
      </c>
      <c r="R1378">
        <v>0.55</v>
      </c>
      <c r="S1378">
        <v>1.45</v>
      </c>
      <c r="T1378">
        <v>29.6</v>
      </c>
      <c r="U1378">
        <v>53.7</v>
      </c>
      <c r="V1378">
        <v>1683</v>
      </c>
      <c r="W1378">
        <v>15</v>
      </c>
      <c r="X1378" t="s">
        <v>617</v>
      </c>
    </row>
    <row r="1379" spans="1:24">
      <c r="A1379" t="str">
        <f>Hyperlink("https://www.diodes.com/part/view/DMT2005UDV","DMT2005UDV")</f>
        <v>DMT2005UDV</v>
      </c>
      <c r="B1379" t="str">
        <f>Hyperlink("https://www.diodes.com/assets/Datasheets/DMT2005UDV.pdf","DMT2005UDV Datasheet")</f>
        <v>DMT2005UDV Datasheet</v>
      </c>
      <c r="C1379" t="s">
        <v>916</v>
      </c>
      <c r="D1379" t="s">
        <v>28</v>
      </c>
      <c r="E1379" t="s">
        <v>26</v>
      </c>
      <c r="F1379" t="s">
        <v>35</v>
      </c>
      <c r="G1379" t="s">
        <v>28</v>
      </c>
      <c r="H1379">
        <v>24</v>
      </c>
      <c r="I1379">
        <v>12</v>
      </c>
      <c r="K1379">
        <v>50</v>
      </c>
      <c r="L1379">
        <v>1.9</v>
      </c>
      <c r="N1379">
        <v>7</v>
      </c>
      <c r="O1379">
        <v>8</v>
      </c>
      <c r="P1379">
        <v>12</v>
      </c>
      <c r="R1379">
        <v>0.5</v>
      </c>
      <c r="S1379">
        <v>1.5</v>
      </c>
      <c r="T1379">
        <v>24.8</v>
      </c>
      <c r="U1379">
        <v>46.7</v>
      </c>
      <c r="V1379">
        <v>2060</v>
      </c>
      <c r="W1379">
        <v>10</v>
      </c>
      <c r="X1379" t="s">
        <v>292</v>
      </c>
    </row>
    <row r="1380" spans="1:24">
      <c r="A1380" t="str">
        <f>Hyperlink("https://www.diodes.com/part/view/DMT26M0LDG","DMT26M0LDG")</f>
        <v>DMT26M0LDG</v>
      </c>
      <c r="B1380" t="str">
        <f>Hyperlink("https://www.diodes.com/assets/Datasheets/DMT26M0LDG.pdf","DMT26M0LDG Datasheet")</f>
        <v>DMT26M0LDG Datasheet</v>
      </c>
      <c r="C1380" t="s">
        <v>917</v>
      </c>
      <c r="D1380" t="s">
        <v>28</v>
      </c>
      <c r="E1380" t="s">
        <v>26</v>
      </c>
      <c r="F1380" t="s">
        <v>35</v>
      </c>
      <c r="G1380" t="s">
        <v>28</v>
      </c>
      <c r="H1380">
        <v>25</v>
      </c>
      <c r="I1380">
        <v>12</v>
      </c>
      <c r="J1380" t="s">
        <v>918</v>
      </c>
      <c r="L1380">
        <v>1.24</v>
      </c>
      <c r="N1380" t="s">
        <v>919</v>
      </c>
      <c r="O1380" t="s">
        <v>920</v>
      </c>
      <c r="R1380" t="s">
        <v>921</v>
      </c>
      <c r="S1380">
        <v>2.2</v>
      </c>
      <c r="T1380" t="s">
        <v>922</v>
      </c>
      <c r="U1380" t="s">
        <v>923</v>
      </c>
      <c r="V1380" t="s">
        <v>924</v>
      </c>
      <c r="W1380">
        <v>13</v>
      </c>
      <c r="X1380" t="s">
        <v>925</v>
      </c>
    </row>
    <row r="1381" spans="1:24">
      <c r="A1381" t="str">
        <f>Hyperlink("https://www.diodes.com/part/view/DMT3002LPS","DMT3002LPS")</f>
        <v>DMT3002LPS</v>
      </c>
      <c r="B1381" t="str">
        <f>Hyperlink("https://www.diodes.com/assets/Datasheets/DMT3002LPS.pdf","DMT3002LPS Datasheet")</f>
        <v>DMT3002LPS Datasheet</v>
      </c>
      <c r="C1381" t="s">
        <v>504</v>
      </c>
      <c r="D1381" t="s">
        <v>25</v>
      </c>
      <c r="E1381" t="s">
        <v>26</v>
      </c>
      <c r="F1381" t="s">
        <v>27</v>
      </c>
      <c r="G1381" t="s">
        <v>28</v>
      </c>
      <c r="H1381">
        <v>30</v>
      </c>
      <c r="I1381">
        <v>16</v>
      </c>
      <c r="K1381">
        <v>240</v>
      </c>
      <c r="L1381">
        <v>2.5</v>
      </c>
      <c r="M1381">
        <v>136</v>
      </c>
      <c r="N1381">
        <v>1.6</v>
      </c>
      <c r="O1381">
        <v>2.5</v>
      </c>
      <c r="S1381">
        <v>2</v>
      </c>
      <c r="T1381">
        <v>37</v>
      </c>
      <c r="U1381">
        <v>77</v>
      </c>
      <c r="V1381">
        <v>5000</v>
      </c>
      <c r="W1381">
        <v>15</v>
      </c>
      <c r="X1381" t="s">
        <v>791</v>
      </c>
    </row>
    <row r="1382" spans="1:24">
      <c r="A1382" t="str">
        <f>Hyperlink("https://www.diodes.com/part/view/DMT3003LFG","DMT3003LFG")</f>
        <v>DMT3003LFG</v>
      </c>
      <c r="B1382" t="str">
        <f>Hyperlink("https://www.diodes.com/assets/Datasheets/DMT3003LFG.pdf","DMT3003LFG Datasheet")</f>
        <v>DMT3003LFG Datasheet</v>
      </c>
      <c r="C1382" t="s">
        <v>504</v>
      </c>
      <c r="D1382" t="s">
        <v>25</v>
      </c>
      <c r="E1382" t="s">
        <v>26</v>
      </c>
      <c r="F1382" t="s">
        <v>27</v>
      </c>
      <c r="G1382" t="s">
        <v>28</v>
      </c>
      <c r="H1382">
        <v>30</v>
      </c>
      <c r="I1382">
        <v>20</v>
      </c>
      <c r="J1382">
        <v>22</v>
      </c>
      <c r="K1382">
        <v>100</v>
      </c>
      <c r="L1382">
        <v>2.4</v>
      </c>
      <c r="M1382">
        <v>62</v>
      </c>
      <c r="N1382">
        <v>3.2</v>
      </c>
      <c r="O1382">
        <v>5.5</v>
      </c>
      <c r="S1382">
        <v>3</v>
      </c>
      <c r="T1382">
        <v>20</v>
      </c>
      <c r="U1382">
        <v>44</v>
      </c>
      <c r="V1382">
        <v>2370</v>
      </c>
      <c r="W1382">
        <v>15</v>
      </c>
      <c r="X1382" t="s">
        <v>529</v>
      </c>
    </row>
    <row r="1383" spans="1:24">
      <c r="A1383" t="str">
        <f>Hyperlink("https://www.diodes.com/part/view/DMT3003LFGQ","DMT3003LFGQ")</f>
        <v>DMT3003LFGQ</v>
      </c>
      <c r="B1383" t="str">
        <f>Hyperlink("https://www.diodes.com/assets/Datasheets/DMT3003LFGQ.pdf","DMT3003LFGQ Datasheet")</f>
        <v>DMT3003LFGQ Datasheet</v>
      </c>
      <c r="C1383" t="s">
        <v>504</v>
      </c>
      <c r="D1383" t="s">
        <v>25</v>
      </c>
      <c r="E1383" t="s">
        <v>33</v>
      </c>
      <c r="F1383" t="s">
        <v>27</v>
      </c>
      <c r="G1383" t="s">
        <v>28</v>
      </c>
      <c r="H1383">
        <v>30</v>
      </c>
      <c r="I1383">
        <v>20</v>
      </c>
      <c r="J1383">
        <v>22</v>
      </c>
      <c r="K1383">
        <v>100</v>
      </c>
      <c r="L1383">
        <v>2.4</v>
      </c>
      <c r="M1383">
        <v>62</v>
      </c>
      <c r="N1383">
        <v>3.2</v>
      </c>
      <c r="O1383">
        <v>5.5</v>
      </c>
      <c r="S1383">
        <v>3</v>
      </c>
      <c r="T1383">
        <v>20</v>
      </c>
      <c r="U1383">
        <v>44</v>
      </c>
      <c r="V1383">
        <v>2370</v>
      </c>
      <c r="W1383">
        <v>15</v>
      </c>
      <c r="X1383" t="s">
        <v>529</v>
      </c>
    </row>
    <row r="1384" spans="1:24">
      <c r="A1384" t="str">
        <f>Hyperlink("https://www.diodes.com/part/view/DMT3004LFG","DMT3004LFG")</f>
        <v>DMT3004LFG</v>
      </c>
      <c r="B1384" t="str">
        <f>Hyperlink("https://www.diodes.com/assets/Datasheets/DMT3004LFG.pdf","DMT3004LFG Datasheet")</f>
        <v>DMT3004LFG Datasheet</v>
      </c>
      <c r="C1384" t="s">
        <v>24</v>
      </c>
      <c r="D1384" t="s">
        <v>28</v>
      </c>
      <c r="E1384" t="s">
        <v>26</v>
      </c>
      <c r="F1384" t="s">
        <v>27</v>
      </c>
      <c r="G1384" t="s">
        <v>28</v>
      </c>
      <c r="H1384">
        <v>30</v>
      </c>
      <c r="I1384" t="s">
        <v>926</v>
      </c>
      <c r="J1384">
        <v>10.4</v>
      </c>
      <c r="K1384">
        <v>25</v>
      </c>
      <c r="L1384">
        <v>2.1</v>
      </c>
      <c r="M1384">
        <v>42</v>
      </c>
      <c r="N1384">
        <v>4.5</v>
      </c>
      <c r="O1384">
        <v>7</v>
      </c>
      <c r="S1384">
        <v>3</v>
      </c>
      <c r="T1384">
        <v>20</v>
      </c>
      <c r="U1384">
        <v>44</v>
      </c>
      <c r="V1384">
        <v>2370</v>
      </c>
      <c r="W1384">
        <v>15</v>
      </c>
      <c r="X1384" t="s">
        <v>529</v>
      </c>
    </row>
    <row r="1385" spans="1:24">
      <c r="A1385" t="str">
        <f>Hyperlink("https://www.diodes.com/part/view/DMT3004LPS","DMT3004LPS")</f>
        <v>DMT3004LPS</v>
      </c>
      <c r="B1385" t="str">
        <f>Hyperlink("https://www.diodes.com/assets/Datasheets/DMT3004LPS.pdf","DMT3004LPS Datasheet")</f>
        <v>DMT3004LPS Datasheet</v>
      </c>
      <c r="C1385" t="s">
        <v>504</v>
      </c>
      <c r="D1385" t="s">
        <v>25</v>
      </c>
      <c r="E1385" t="s">
        <v>26</v>
      </c>
      <c r="F1385" t="s">
        <v>27</v>
      </c>
      <c r="G1385" t="s">
        <v>28</v>
      </c>
      <c r="H1385">
        <v>30</v>
      </c>
      <c r="I1385" t="s">
        <v>926</v>
      </c>
      <c r="J1385">
        <v>21</v>
      </c>
      <c r="K1385">
        <v>140</v>
      </c>
      <c r="L1385">
        <v>2.7</v>
      </c>
      <c r="M1385">
        <v>113</v>
      </c>
      <c r="N1385">
        <v>3.8</v>
      </c>
      <c r="O1385">
        <v>6</v>
      </c>
      <c r="S1385">
        <v>3</v>
      </c>
      <c r="U1385">
        <v>43.7</v>
      </c>
      <c r="V1385">
        <v>2370</v>
      </c>
      <c r="W1385">
        <v>15</v>
      </c>
      <c r="X1385" t="s">
        <v>617</v>
      </c>
    </row>
    <row r="1386" spans="1:24">
      <c r="A1386" t="str">
        <f>Hyperlink("https://www.diodes.com/part/view/DMT3006LDK","DMT3006LDK")</f>
        <v>DMT3006LDK</v>
      </c>
      <c r="B1386" t="str">
        <f>Hyperlink("https://www.diodes.com/assets/Datasheets/DMT3006LDK.pdf","DMT3006LDK Datasheet")</f>
        <v>DMT3006LDK Datasheet</v>
      </c>
      <c r="C1386" t="s">
        <v>504</v>
      </c>
      <c r="D1386" t="s">
        <v>25</v>
      </c>
      <c r="E1386" t="s">
        <v>26</v>
      </c>
      <c r="F1386" t="s">
        <v>27</v>
      </c>
      <c r="G1386" t="s">
        <v>28</v>
      </c>
      <c r="H1386">
        <v>30</v>
      </c>
      <c r="I1386">
        <v>20</v>
      </c>
      <c r="J1386">
        <v>17.1</v>
      </c>
      <c r="K1386">
        <v>46.2</v>
      </c>
      <c r="L1386">
        <v>2.8</v>
      </c>
      <c r="M1386">
        <v>20</v>
      </c>
      <c r="N1386">
        <v>6.5</v>
      </c>
      <c r="O1386">
        <v>10</v>
      </c>
      <c r="S1386">
        <v>3</v>
      </c>
      <c r="T1386">
        <v>8.4</v>
      </c>
      <c r="U1386">
        <v>16.7</v>
      </c>
      <c r="V1386">
        <v>1320</v>
      </c>
      <c r="W1386">
        <v>15</v>
      </c>
      <c r="X1386" t="s">
        <v>927</v>
      </c>
    </row>
    <row r="1387" spans="1:24">
      <c r="A1387" t="str">
        <f>Hyperlink("https://www.diodes.com/part/view/DMT3006LDV","DMT3006LDV")</f>
        <v>DMT3006LDV</v>
      </c>
      <c r="B1387" t="str">
        <f>Hyperlink("https://www.diodes.com/assets/Datasheets/DMT3006LDV.pdf","DMT3006LDV Datasheet")</f>
        <v>DMT3006LDV Datasheet</v>
      </c>
      <c r="C1387" t="s">
        <v>504</v>
      </c>
      <c r="D1387" t="s">
        <v>28</v>
      </c>
      <c r="E1387" t="s">
        <v>26</v>
      </c>
      <c r="F1387" t="s">
        <v>35</v>
      </c>
      <c r="G1387" t="s">
        <v>28</v>
      </c>
      <c r="H1387">
        <v>30</v>
      </c>
      <c r="I1387">
        <v>20</v>
      </c>
      <c r="K1387">
        <v>25</v>
      </c>
      <c r="L1387">
        <v>1.8</v>
      </c>
      <c r="N1387">
        <v>10</v>
      </c>
      <c r="O1387">
        <v>14</v>
      </c>
      <c r="S1387">
        <v>3</v>
      </c>
      <c r="T1387">
        <v>8.4</v>
      </c>
      <c r="U1387">
        <v>16.7</v>
      </c>
      <c r="V1387">
        <v>1155</v>
      </c>
      <c r="W1387">
        <v>15</v>
      </c>
      <c r="X1387" t="s">
        <v>292</v>
      </c>
    </row>
    <row r="1388" spans="1:24">
      <c r="A1388" t="str">
        <f>Hyperlink("https://www.diodes.com/part/view/DMT3006LFDF","DMT3006LFDF")</f>
        <v>DMT3006LFDF</v>
      </c>
      <c r="B1388" t="str">
        <f>Hyperlink("https://www.diodes.com/assets/Datasheets/DMT3006LFDF.pdf","DMT3006LFDF Datasheet")</f>
        <v>DMT3006LFDF Datasheet</v>
      </c>
      <c r="C1388" t="s">
        <v>504</v>
      </c>
      <c r="D1388" t="s">
        <v>25</v>
      </c>
      <c r="E1388" t="s">
        <v>26</v>
      </c>
      <c r="F1388" t="s">
        <v>27</v>
      </c>
      <c r="G1388" t="s">
        <v>28</v>
      </c>
      <c r="H1388">
        <v>30</v>
      </c>
      <c r="I1388">
        <v>20</v>
      </c>
      <c r="J1388">
        <v>14.1</v>
      </c>
      <c r="L1388">
        <v>2.1</v>
      </c>
      <c r="N1388">
        <v>7</v>
      </c>
      <c r="O1388">
        <v>10</v>
      </c>
      <c r="S1388">
        <v>3</v>
      </c>
      <c r="T1388">
        <v>8.4</v>
      </c>
      <c r="U1388">
        <v>16.7</v>
      </c>
      <c r="V1388">
        <v>1320</v>
      </c>
      <c r="W1388">
        <v>15</v>
      </c>
      <c r="X1388" t="s">
        <v>568</v>
      </c>
    </row>
    <row r="1389" spans="1:24">
      <c r="A1389" t="str">
        <f>Hyperlink("https://www.diodes.com/part/view/DMT3006LFDFQ","DMT3006LFDFQ")</f>
        <v>DMT3006LFDFQ</v>
      </c>
      <c r="B1389" t="str">
        <f>Hyperlink("https://www.diodes.com/assets/Datasheets/DMT3006LFDFQ.pdf","DMT3006LFDFQ Datasheet")</f>
        <v>DMT3006LFDFQ Datasheet</v>
      </c>
      <c r="C1389" t="s">
        <v>24</v>
      </c>
      <c r="D1389" t="s">
        <v>25</v>
      </c>
      <c r="E1389" t="s">
        <v>33</v>
      </c>
      <c r="F1389" t="s">
        <v>27</v>
      </c>
      <c r="G1389" t="s">
        <v>28</v>
      </c>
      <c r="H1389">
        <v>30</v>
      </c>
      <c r="I1389">
        <v>20</v>
      </c>
      <c r="J1389">
        <v>14.1</v>
      </c>
      <c r="L1389">
        <v>2.1</v>
      </c>
      <c r="N1389">
        <v>7</v>
      </c>
      <c r="O1389">
        <v>10</v>
      </c>
      <c r="S1389">
        <v>3</v>
      </c>
      <c r="T1389">
        <v>8.4</v>
      </c>
      <c r="U1389">
        <v>16.7</v>
      </c>
      <c r="V1389">
        <v>1155</v>
      </c>
      <c r="W1389">
        <v>15</v>
      </c>
      <c r="X1389" t="s">
        <v>568</v>
      </c>
    </row>
    <row r="1390" spans="1:24">
      <c r="A1390" t="str">
        <f>Hyperlink("https://www.diodes.com/part/view/DMT3006LFG","DMT3006LFG")</f>
        <v>DMT3006LFG</v>
      </c>
      <c r="B1390" t="str">
        <f>Hyperlink("https://www.diodes.com/assets/Datasheets/DMT3006LFG.pdf","DMT3006LFG Datasheet")</f>
        <v>DMT3006LFG Datasheet</v>
      </c>
      <c r="C1390" t="s">
        <v>504</v>
      </c>
      <c r="D1390" t="s">
        <v>28</v>
      </c>
      <c r="E1390" t="s">
        <v>26</v>
      </c>
      <c r="F1390" t="s">
        <v>27</v>
      </c>
      <c r="G1390" t="s">
        <v>28</v>
      </c>
      <c r="H1390">
        <v>30</v>
      </c>
      <c r="I1390">
        <v>20</v>
      </c>
      <c r="J1390">
        <v>16</v>
      </c>
      <c r="K1390">
        <v>55.6</v>
      </c>
      <c r="M1390">
        <v>27.8</v>
      </c>
      <c r="N1390">
        <v>6</v>
      </c>
      <c r="O1390">
        <v>10</v>
      </c>
      <c r="S1390">
        <v>3</v>
      </c>
      <c r="T1390">
        <v>8.4</v>
      </c>
      <c r="U1390">
        <v>16.7</v>
      </c>
      <c r="V1390">
        <v>1320</v>
      </c>
      <c r="W1390">
        <v>15</v>
      </c>
      <c r="X1390" t="s">
        <v>529</v>
      </c>
    </row>
    <row r="1391" spans="1:24">
      <c r="A1391" t="str">
        <f>Hyperlink("https://www.diodes.com/part/view/DMT3006LFV","DMT3006LFV")</f>
        <v>DMT3006LFV</v>
      </c>
      <c r="B1391" t="str">
        <f>Hyperlink("https://www.diodes.com/assets/Datasheets/DMT3006LFV.pdf","DMT3006LFV Datasheet")</f>
        <v>DMT3006LFV Datasheet</v>
      </c>
      <c r="C1391" t="s">
        <v>504</v>
      </c>
      <c r="D1391" t="s">
        <v>28</v>
      </c>
      <c r="E1391" t="s">
        <v>26</v>
      </c>
      <c r="F1391" t="s">
        <v>27</v>
      </c>
      <c r="G1391" t="s">
        <v>28</v>
      </c>
      <c r="H1391">
        <v>30</v>
      </c>
      <c r="I1391">
        <v>20</v>
      </c>
      <c r="K1391">
        <v>60</v>
      </c>
      <c r="L1391">
        <v>2</v>
      </c>
      <c r="N1391">
        <v>7</v>
      </c>
      <c r="O1391">
        <v>11</v>
      </c>
      <c r="S1391">
        <v>3</v>
      </c>
      <c r="T1391">
        <v>8.4</v>
      </c>
      <c r="U1391">
        <v>16.7</v>
      </c>
      <c r="V1391">
        <v>1155</v>
      </c>
      <c r="W1391">
        <v>15</v>
      </c>
      <c r="X1391" t="s">
        <v>570</v>
      </c>
    </row>
    <row r="1392" spans="1:24">
      <c r="A1392" t="str">
        <f>Hyperlink("https://www.diodes.com/part/view/DMT3006LFVQ","DMT3006LFVQ")</f>
        <v>DMT3006LFVQ</v>
      </c>
      <c r="B1392" t="str">
        <f>Hyperlink("https://www.diodes.com/assets/Datasheets/DMT3006LFVQ.pdf","DMT3006LFVQ Datasheet")</f>
        <v>DMT3006LFVQ Datasheet</v>
      </c>
      <c r="C1392" t="s">
        <v>504</v>
      </c>
      <c r="D1392" t="s">
        <v>25</v>
      </c>
      <c r="E1392" t="s">
        <v>33</v>
      </c>
      <c r="F1392" t="s">
        <v>27</v>
      </c>
      <c r="G1392" t="s">
        <v>28</v>
      </c>
      <c r="H1392">
        <v>30</v>
      </c>
      <c r="I1392">
        <v>20</v>
      </c>
      <c r="K1392">
        <v>60</v>
      </c>
      <c r="L1392">
        <v>2</v>
      </c>
      <c r="N1392">
        <v>7</v>
      </c>
      <c r="O1392">
        <v>11</v>
      </c>
      <c r="S1392">
        <v>3</v>
      </c>
      <c r="T1392">
        <v>8.4</v>
      </c>
      <c r="U1392">
        <v>16.7</v>
      </c>
      <c r="V1392">
        <v>1155</v>
      </c>
      <c r="W1392">
        <v>15</v>
      </c>
      <c r="X1392" t="s">
        <v>570</v>
      </c>
    </row>
    <row r="1393" spans="1:24">
      <c r="A1393" t="str">
        <f>Hyperlink("https://www.diodes.com/part/view/DMT3006LPB","DMT3006LPB")</f>
        <v>DMT3006LPB</v>
      </c>
      <c r="B1393" t="str">
        <f>Hyperlink("https://www.diodes.com/assets/Datasheets/DMT3006LPB.pdf","DMT3006LPB Datasheet")</f>
        <v>DMT3006LPB Datasheet</v>
      </c>
      <c r="C1393" t="s">
        <v>928</v>
      </c>
      <c r="D1393" t="s">
        <v>28</v>
      </c>
      <c r="E1393" t="s">
        <v>26</v>
      </c>
      <c r="F1393" t="s">
        <v>35</v>
      </c>
      <c r="G1393" t="s">
        <v>28</v>
      </c>
      <c r="H1393">
        <v>30</v>
      </c>
      <c r="I1393">
        <v>20</v>
      </c>
      <c r="J1393" t="s">
        <v>929</v>
      </c>
      <c r="K1393" t="s">
        <v>930</v>
      </c>
      <c r="L1393">
        <v>1.7</v>
      </c>
      <c r="M1393">
        <v>30</v>
      </c>
      <c r="N1393" t="s">
        <v>931</v>
      </c>
      <c r="O1393" t="s">
        <v>932</v>
      </c>
      <c r="S1393" t="s">
        <v>160</v>
      </c>
      <c r="T1393" t="s">
        <v>933</v>
      </c>
      <c r="U1393" t="s">
        <v>934</v>
      </c>
      <c r="V1393" t="s">
        <v>935</v>
      </c>
      <c r="W1393">
        <v>15</v>
      </c>
      <c r="X1393" t="s">
        <v>936</v>
      </c>
    </row>
    <row r="1394" spans="1:24">
      <c r="A1394" t="str">
        <f>Hyperlink("https://www.diodes.com/part/view/DMT3006LPS","DMT3006LPS")</f>
        <v>DMT3006LPS</v>
      </c>
      <c r="B1394" t="str">
        <f>Hyperlink("https://www.diodes.com/assets/Datasheets/DMT3006LPS.pdf","DMT3006LPS Datasheet")</f>
        <v>DMT3006LPS Datasheet</v>
      </c>
      <c r="C1394" t="s">
        <v>504</v>
      </c>
      <c r="D1394" t="s">
        <v>25</v>
      </c>
      <c r="E1394" t="s">
        <v>26</v>
      </c>
      <c r="F1394" t="s">
        <v>27</v>
      </c>
      <c r="G1394" t="s">
        <v>28</v>
      </c>
      <c r="H1394">
        <v>30</v>
      </c>
      <c r="I1394">
        <v>20</v>
      </c>
      <c r="J1394">
        <v>16</v>
      </c>
      <c r="K1394">
        <v>65</v>
      </c>
      <c r="L1394">
        <v>2.6</v>
      </c>
      <c r="M1394">
        <v>42</v>
      </c>
      <c r="N1394">
        <v>6</v>
      </c>
      <c r="O1394">
        <v>9.8</v>
      </c>
      <c r="S1394">
        <v>3</v>
      </c>
      <c r="T1394">
        <v>8.4</v>
      </c>
      <c r="U1394">
        <v>16.7</v>
      </c>
      <c r="V1394">
        <v>1320</v>
      </c>
      <c r="W1394">
        <v>15</v>
      </c>
      <c r="X1394" t="s">
        <v>848</v>
      </c>
    </row>
    <row r="1395" spans="1:24">
      <c r="A1395" t="str">
        <f>Hyperlink("https://www.diodes.com/part/view/DMT3008LFDF","DMT3008LFDF")</f>
        <v>DMT3008LFDF</v>
      </c>
      <c r="B1395" t="str">
        <f>Hyperlink("https://www.diodes.com/assets/Datasheets/DMT3008LFDF.pdf","DMT3008LFDF Datasheet")</f>
        <v>DMT3008LFDF Datasheet</v>
      </c>
      <c r="C1395" t="s">
        <v>504</v>
      </c>
      <c r="D1395" t="s">
        <v>28</v>
      </c>
      <c r="E1395" t="s">
        <v>26</v>
      </c>
      <c r="F1395" t="s">
        <v>27</v>
      </c>
      <c r="G1395" t="s">
        <v>28</v>
      </c>
      <c r="H1395">
        <v>30</v>
      </c>
      <c r="I1395">
        <v>20</v>
      </c>
      <c r="J1395">
        <v>12</v>
      </c>
      <c r="L1395">
        <v>2.1</v>
      </c>
      <c r="N1395">
        <v>10</v>
      </c>
      <c r="O1395">
        <v>16</v>
      </c>
      <c r="S1395">
        <v>3</v>
      </c>
      <c r="T1395">
        <v>5.8</v>
      </c>
      <c r="U1395">
        <v>14</v>
      </c>
      <c r="V1395">
        <v>886</v>
      </c>
      <c r="W1395">
        <v>15</v>
      </c>
      <c r="X1395" t="s">
        <v>568</v>
      </c>
    </row>
    <row r="1396" spans="1:24">
      <c r="A1396" t="str">
        <f>Hyperlink("https://www.diodes.com/part/view/DMT3009LDT","DMT3009LDT")</f>
        <v>DMT3009LDT</v>
      </c>
      <c r="B1396" t="str">
        <f>Hyperlink("https://www.diodes.com/assets/Datasheets/DMT3009LDT.pdf","DMT3009LDT Datasheet")</f>
        <v>DMT3009LDT Datasheet</v>
      </c>
      <c r="C1396" t="s">
        <v>24</v>
      </c>
      <c r="D1396" t="s">
        <v>28</v>
      </c>
      <c r="E1396" t="s">
        <v>26</v>
      </c>
      <c r="F1396" t="s">
        <v>35</v>
      </c>
      <c r="G1396" t="s">
        <v>28</v>
      </c>
      <c r="H1396">
        <v>30</v>
      </c>
      <c r="I1396" t="s">
        <v>926</v>
      </c>
      <c r="K1396">
        <v>30</v>
      </c>
      <c r="L1396">
        <v>2</v>
      </c>
      <c r="N1396">
        <v>11.1</v>
      </c>
      <c r="O1396">
        <v>13.8</v>
      </c>
      <c r="S1396">
        <v>3</v>
      </c>
      <c r="T1396">
        <v>6.4</v>
      </c>
      <c r="U1396">
        <v>13.8</v>
      </c>
      <c r="V1396">
        <v>748</v>
      </c>
      <c r="W1396">
        <v>15</v>
      </c>
      <c r="X1396" t="s">
        <v>937</v>
      </c>
    </row>
    <row r="1397" spans="1:24">
      <c r="A1397" t="str">
        <f>Hyperlink("https://www.diodes.com/part/view/DMT3009LEV","DMT3009LEV")</f>
        <v>DMT3009LEV</v>
      </c>
      <c r="B1397" t="str">
        <f>Hyperlink("https://www.diodes.com/assets/Datasheets/DMT3009LEV.pdf","DMT3009LEV Datasheet")</f>
        <v>DMT3009LEV Datasheet</v>
      </c>
      <c r="C1397" t="s">
        <v>24</v>
      </c>
      <c r="D1397" t="s">
        <v>28</v>
      </c>
      <c r="E1397" t="s">
        <v>26</v>
      </c>
      <c r="F1397" t="s">
        <v>35</v>
      </c>
      <c r="G1397" t="s">
        <v>28</v>
      </c>
      <c r="H1397">
        <v>30</v>
      </c>
      <c r="I1397" t="s">
        <v>926</v>
      </c>
      <c r="K1397">
        <v>20</v>
      </c>
      <c r="L1397">
        <v>1.8</v>
      </c>
      <c r="N1397">
        <v>12</v>
      </c>
      <c r="O1397">
        <v>20</v>
      </c>
      <c r="S1397">
        <v>3</v>
      </c>
      <c r="T1397">
        <v>5.8</v>
      </c>
      <c r="U1397">
        <v>12</v>
      </c>
      <c r="V1397">
        <v>823</v>
      </c>
      <c r="W1397">
        <v>15</v>
      </c>
      <c r="X1397" t="s">
        <v>938</v>
      </c>
    </row>
    <row r="1398" spans="1:24">
      <c r="A1398" t="str">
        <f>Hyperlink("https://www.diodes.com/part/view/DMT3009LFVW","DMT3009LFVW")</f>
        <v>DMT3009LFVW</v>
      </c>
      <c r="B1398" t="str">
        <f>Hyperlink("https://www.diodes.com/assets/Datasheets/DMT3009LFVW.pdf","DMT3009LFVW Datasheet")</f>
        <v>DMT3009LFVW Datasheet</v>
      </c>
      <c r="C1398" t="s">
        <v>504</v>
      </c>
      <c r="D1398" t="s">
        <v>25</v>
      </c>
      <c r="E1398" t="s">
        <v>26</v>
      </c>
      <c r="F1398" t="s">
        <v>27</v>
      </c>
      <c r="G1398" t="s">
        <v>28</v>
      </c>
      <c r="H1398">
        <v>30</v>
      </c>
      <c r="I1398">
        <v>20</v>
      </c>
      <c r="J1398">
        <v>12</v>
      </c>
      <c r="K1398">
        <v>50</v>
      </c>
      <c r="L1398">
        <v>2.3</v>
      </c>
      <c r="M1398">
        <v>35.7</v>
      </c>
      <c r="N1398">
        <v>11</v>
      </c>
      <c r="O1398">
        <v>13</v>
      </c>
      <c r="S1398">
        <v>3</v>
      </c>
      <c r="T1398">
        <v>5.8</v>
      </c>
      <c r="U1398">
        <v>12</v>
      </c>
      <c r="V1398">
        <v>823</v>
      </c>
      <c r="W1398">
        <v>15</v>
      </c>
      <c r="X1398" t="s">
        <v>655</v>
      </c>
    </row>
    <row r="1399" spans="1:24">
      <c r="A1399" t="str">
        <f>Hyperlink("https://www.diodes.com/part/view/DMT3009LFVWQ","DMT3009LFVWQ")</f>
        <v>DMT3009LFVWQ</v>
      </c>
      <c r="B1399" t="str">
        <f>Hyperlink("https://www.diodes.com/assets/Datasheets/DMT3009LFVWQ.pdf","DMT3009LFVWQ Datasheet")</f>
        <v>DMT3009LFVWQ Datasheet</v>
      </c>
      <c r="C1399" t="s">
        <v>504</v>
      </c>
      <c r="D1399" t="s">
        <v>25</v>
      </c>
      <c r="E1399" t="s">
        <v>33</v>
      </c>
      <c r="F1399" t="s">
        <v>27</v>
      </c>
      <c r="G1399" t="s">
        <v>28</v>
      </c>
      <c r="H1399">
        <v>30</v>
      </c>
      <c r="I1399">
        <v>20</v>
      </c>
      <c r="J1399">
        <v>12</v>
      </c>
      <c r="K1399">
        <v>50</v>
      </c>
      <c r="L1399">
        <v>2.3</v>
      </c>
      <c r="M1399">
        <v>35.7</v>
      </c>
      <c r="N1399">
        <v>11</v>
      </c>
      <c r="O1399">
        <v>13</v>
      </c>
      <c r="S1399">
        <v>3</v>
      </c>
      <c r="T1399">
        <v>5.8</v>
      </c>
      <c r="U1399">
        <v>12</v>
      </c>
      <c r="V1399">
        <v>823</v>
      </c>
      <c r="W1399">
        <v>15</v>
      </c>
      <c r="X1399" t="s">
        <v>655</v>
      </c>
    </row>
    <row r="1400" spans="1:24">
      <c r="A1400" t="str">
        <f>Hyperlink("https://www.diodes.com/part/view/DMT3009UDT","DMT3009UDT")</f>
        <v>DMT3009UDT</v>
      </c>
      <c r="B1400" t="str">
        <f>Hyperlink("https://www.diodes.com/assets/Datasheets/DMT3009UDT.pdf","DMT3009UDT Datasheet")</f>
        <v>DMT3009UDT Datasheet</v>
      </c>
      <c r="C1400" t="s">
        <v>34</v>
      </c>
      <c r="D1400" t="s">
        <v>28</v>
      </c>
      <c r="E1400" t="s">
        <v>26</v>
      </c>
      <c r="F1400" t="s">
        <v>35</v>
      </c>
      <c r="G1400" t="s">
        <v>25</v>
      </c>
      <c r="H1400">
        <v>30</v>
      </c>
      <c r="I1400">
        <v>12</v>
      </c>
      <c r="J1400">
        <v>10.6</v>
      </c>
      <c r="K1400">
        <v>30</v>
      </c>
      <c r="L1400">
        <v>1.9</v>
      </c>
      <c r="M1400">
        <v>16</v>
      </c>
      <c r="N1400">
        <v>11.1</v>
      </c>
      <c r="O1400">
        <v>15</v>
      </c>
      <c r="S1400">
        <v>1.8</v>
      </c>
      <c r="T1400">
        <v>7.4</v>
      </c>
      <c r="U1400">
        <v>14.6</v>
      </c>
      <c r="V1400">
        <v>894</v>
      </c>
      <c r="W1400">
        <v>15</v>
      </c>
      <c r="X1400" t="s">
        <v>939</v>
      </c>
    </row>
    <row r="1401" spans="1:24">
      <c r="A1401" t="str">
        <f>Hyperlink("https://www.diodes.com/part/view/DMT3009UFVW","DMT3009UFVW")</f>
        <v>DMT3009UFVW</v>
      </c>
      <c r="B1401" t="str">
        <f>Hyperlink("https://www.diodes.com/assets/Datasheets/DMT3009UFVW.pdf","DMT3009UFVW Datasheet")</f>
        <v>DMT3009UFVW Datasheet</v>
      </c>
      <c r="C1401" t="s">
        <v>504</v>
      </c>
      <c r="D1401" t="s">
        <v>28</v>
      </c>
      <c r="E1401" t="s">
        <v>26</v>
      </c>
      <c r="F1401" t="s">
        <v>27</v>
      </c>
      <c r="G1401" t="s">
        <v>25</v>
      </c>
      <c r="H1401">
        <v>30</v>
      </c>
      <c r="I1401">
        <v>12</v>
      </c>
      <c r="J1401">
        <v>10.6</v>
      </c>
      <c r="K1401">
        <v>30</v>
      </c>
      <c r="L1401">
        <v>2.6</v>
      </c>
      <c r="M1401">
        <v>35.7</v>
      </c>
      <c r="N1401">
        <v>11</v>
      </c>
      <c r="O1401">
        <v>13</v>
      </c>
      <c r="S1401">
        <v>1.8</v>
      </c>
      <c r="T1401">
        <v>7.4</v>
      </c>
      <c r="U1401">
        <v>14.6</v>
      </c>
      <c r="V1401">
        <v>893</v>
      </c>
      <c r="W1401">
        <v>15</v>
      </c>
      <c r="X1401" t="s">
        <v>529</v>
      </c>
    </row>
    <row r="1402" spans="1:24">
      <c r="A1402" t="str">
        <f>Hyperlink("https://www.diodes.com/part/view/DMT3011LDT","DMT3011LDT")</f>
        <v>DMT3011LDT</v>
      </c>
      <c r="B1402" t="str">
        <f>Hyperlink("https://www.diodes.com/assets/Datasheets/DMT3011LDT.pdf","DMT3011LDT Datasheet")</f>
        <v>DMT3011LDT Datasheet</v>
      </c>
      <c r="C1402" t="s">
        <v>34</v>
      </c>
      <c r="D1402" t="s">
        <v>28</v>
      </c>
      <c r="E1402" t="s">
        <v>26</v>
      </c>
      <c r="F1402" t="s">
        <v>35</v>
      </c>
      <c r="G1402" t="s">
        <v>28</v>
      </c>
      <c r="H1402">
        <v>30</v>
      </c>
      <c r="I1402" t="s">
        <v>940</v>
      </c>
      <c r="J1402" t="s">
        <v>941</v>
      </c>
      <c r="K1402" t="s">
        <v>942</v>
      </c>
      <c r="L1402">
        <v>1.9</v>
      </c>
      <c r="M1402">
        <v>13.9</v>
      </c>
      <c r="N1402" t="s">
        <v>943</v>
      </c>
      <c r="O1402" t="s">
        <v>944</v>
      </c>
      <c r="S1402" t="s">
        <v>160</v>
      </c>
      <c r="T1402" t="s">
        <v>945</v>
      </c>
      <c r="U1402" t="s">
        <v>946</v>
      </c>
      <c r="V1402" t="s">
        <v>947</v>
      </c>
      <c r="W1402">
        <v>15</v>
      </c>
      <c r="X1402" t="s">
        <v>937</v>
      </c>
    </row>
    <row r="1403" spans="1:24">
      <c r="A1403" t="str">
        <f>Hyperlink("https://www.diodes.com/part/view/DMT3020LDT","DMT3020LDT")</f>
        <v>DMT3020LDT</v>
      </c>
      <c r="B1403" t="str">
        <f>Hyperlink("https://www.diodes.com/assets/Datasheets/DMT3020LDT.pdf","DMT3020LDT Datasheet")</f>
        <v>DMT3020LDT Datasheet</v>
      </c>
      <c r="C1403" t="s">
        <v>34</v>
      </c>
      <c r="D1403" t="s">
        <v>28</v>
      </c>
      <c r="E1403" t="s">
        <v>26</v>
      </c>
      <c r="F1403" t="s">
        <v>35</v>
      </c>
      <c r="G1403" t="s">
        <v>28</v>
      </c>
      <c r="H1403">
        <v>30</v>
      </c>
      <c r="I1403">
        <v>20</v>
      </c>
      <c r="K1403">
        <v>8.5</v>
      </c>
      <c r="L1403">
        <v>1.95</v>
      </c>
      <c r="N1403">
        <v>20</v>
      </c>
      <c r="O1403">
        <v>32</v>
      </c>
      <c r="S1403">
        <v>2.5</v>
      </c>
      <c r="T1403">
        <v>3.6</v>
      </c>
      <c r="U1403">
        <v>7</v>
      </c>
      <c r="V1403">
        <v>393</v>
      </c>
      <c r="W1403">
        <v>15</v>
      </c>
      <c r="X1403" t="s">
        <v>631</v>
      </c>
    </row>
    <row r="1404" spans="1:24">
      <c r="A1404" t="str">
        <f>Hyperlink("https://www.diodes.com/part/view/DMT3020LDV","DMT3020LDV")</f>
        <v>DMT3020LDV</v>
      </c>
      <c r="B1404" t="str">
        <f>Hyperlink("https://www.diodes.com/assets/Datasheets/DMT3020LDV.pdf","DMT3020LDV Datasheet")</f>
        <v>DMT3020LDV Datasheet</v>
      </c>
      <c r="C1404" t="s">
        <v>928</v>
      </c>
      <c r="D1404" t="s">
        <v>28</v>
      </c>
      <c r="E1404" t="s">
        <v>26</v>
      </c>
      <c r="F1404" t="s">
        <v>35</v>
      </c>
      <c r="G1404" t="s">
        <v>28</v>
      </c>
      <c r="H1404">
        <v>30</v>
      </c>
      <c r="I1404">
        <v>20</v>
      </c>
      <c r="K1404">
        <v>32</v>
      </c>
      <c r="L1404">
        <v>1.9</v>
      </c>
      <c r="N1404">
        <v>20</v>
      </c>
      <c r="O1404">
        <v>32</v>
      </c>
      <c r="S1404">
        <v>2.5</v>
      </c>
      <c r="T1404">
        <v>3.6</v>
      </c>
      <c r="U1404">
        <v>7</v>
      </c>
      <c r="V1404">
        <v>393</v>
      </c>
      <c r="W1404">
        <v>15</v>
      </c>
      <c r="X1404" t="s">
        <v>292</v>
      </c>
    </row>
    <row r="1405" spans="1:24">
      <c r="A1405" t="str">
        <f>Hyperlink("https://www.diodes.com/part/view/DMT3020LFCL","DMT3020LFCL")</f>
        <v>DMT3020LFCL</v>
      </c>
      <c r="B1405" t="str">
        <f>Hyperlink("https://www.diodes.com/assets/Datasheets/DMT3020LFCL.pdf","DMT3020LFCL Datasheet")</f>
        <v>DMT3020LFCL Datasheet</v>
      </c>
      <c r="C1405" t="s">
        <v>504</v>
      </c>
      <c r="D1405" t="s">
        <v>28</v>
      </c>
      <c r="E1405" t="s">
        <v>26</v>
      </c>
      <c r="F1405" t="s">
        <v>27</v>
      </c>
      <c r="G1405" t="s">
        <v>28</v>
      </c>
      <c r="H1405">
        <v>30</v>
      </c>
      <c r="I1405">
        <v>20</v>
      </c>
      <c r="J1405">
        <v>7.6</v>
      </c>
      <c r="L1405">
        <v>1.7</v>
      </c>
      <c r="N1405">
        <v>20</v>
      </c>
      <c r="O1405">
        <v>32</v>
      </c>
      <c r="S1405">
        <v>3</v>
      </c>
      <c r="T1405">
        <v>3.6</v>
      </c>
      <c r="U1405">
        <v>7</v>
      </c>
      <c r="V1405">
        <v>393</v>
      </c>
      <c r="W1405">
        <v>15</v>
      </c>
      <c r="X1405" t="s">
        <v>797</v>
      </c>
    </row>
    <row r="1406" spans="1:24">
      <c r="A1406" t="str">
        <f>Hyperlink("https://www.diodes.com/part/view/DMT3020LFDB","DMT3020LFDB")</f>
        <v>DMT3020LFDB</v>
      </c>
      <c r="B1406" t="str">
        <f>Hyperlink("https://www.diodes.com/assets/Datasheets/DMT3020LFDB.pdf","DMT3020LFDB Datasheet")</f>
        <v>DMT3020LFDB Datasheet</v>
      </c>
      <c r="C1406" t="s">
        <v>668</v>
      </c>
      <c r="D1406" t="s">
        <v>25</v>
      </c>
      <c r="E1406" t="s">
        <v>26</v>
      </c>
      <c r="F1406" t="s">
        <v>35</v>
      </c>
      <c r="G1406" t="s">
        <v>28</v>
      </c>
      <c r="H1406">
        <v>30</v>
      </c>
      <c r="I1406">
        <v>20</v>
      </c>
      <c r="J1406">
        <v>7.7</v>
      </c>
      <c r="L1406">
        <v>1.8</v>
      </c>
      <c r="N1406">
        <v>20</v>
      </c>
      <c r="O1406">
        <v>32</v>
      </c>
      <c r="S1406">
        <v>2.5</v>
      </c>
      <c r="T1406">
        <v>3.6</v>
      </c>
      <c r="U1406">
        <v>7</v>
      </c>
      <c r="V1406">
        <v>393</v>
      </c>
      <c r="W1406">
        <v>15</v>
      </c>
      <c r="X1406" t="s">
        <v>125</v>
      </c>
    </row>
    <row r="1407" spans="1:24">
      <c r="A1407" t="str">
        <f>Hyperlink("https://www.diodes.com/part/view/DMT3020LFDBQ","DMT3020LFDBQ")</f>
        <v>DMT3020LFDBQ</v>
      </c>
      <c r="B1407" t="str">
        <f>Hyperlink("https://www.diodes.com/assets/Datasheets/DMT3020LFDBQ.pdf","DMT3020LFDBQ Datasheet")</f>
        <v>DMT3020LFDBQ Datasheet</v>
      </c>
      <c r="C1407" t="s">
        <v>668</v>
      </c>
      <c r="D1407" t="s">
        <v>25</v>
      </c>
      <c r="E1407" t="s">
        <v>33</v>
      </c>
      <c r="F1407" t="s">
        <v>35</v>
      </c>
      <c r="G1407" t="s">
        <v>28</v>
      </c>
      <c r="H1407">
        <v>30</v>
      </c>
      <c r="I1407">
        <v>20</v>
      </c>
      <c r="J1407">
        <v>7.7</v>
      </c>
      <c r="L1407">
        <v>1.8</v>
      </c>
      <c r="N1407">
        <v>20</v>
      </c>
      <c r="O1407">
        <v>32</v>
      </c>
      <c r="S1407">
        <v>2.5</v>
      </c>
      <c r="T1407">
        <v>3.6</v>
      </c>
      <c r="U1407">
        <v>7</v>
      </c>
      <c r="V1407">
        <v>393</v>
      </c>
      <c r="W1407">
        <v>15</v>
      </c>
      <c r="X1407" t="s">
        <v>125</v>
      </c>
    </row>
    <row r="1408" spans="1:24">
      <c r="A1408" t="str">
        <f>Hyperlink("https://www.diodes.com/part/view/DMT3020LFDF","DMT3020LFDF")</f>
        <v>DMT3020LFDF</v>
      </c>
      <c r="B1408" t="str">
        <f>Hyperlink("https://www.diodes.com/assets/Datasheets/DMT3020LFDF.pdf","DMT3020LFDF Datasheet")</f>
        <v>DMT3020LFDF Datasheet</v>
      </c>
      <c r="C1408" t="s">
        <v>504</v>
      </c>
      <c r="D1408" t="s">
        <v>28</v>
      </c>
      <c r="E1408" t="s">
        <v>26</v>
      </c>
      <c r="F1408" t="s">
        <v>27</v>
      </c>
      <c r="G1408" t="s">
        <v>28</v>
      </c>
      <c r="H1408">
        <v>30</v>
      </c>
      <c r="I1408">
        <v>20</v>
      </c>
      <c r="J1408">
        <v>8.4</v>
      </c>
      <c r="L1408">
        <v>1.8</v>
      </c>
      <c r="N1408">
        <v>17</v>
      </c>
      <c r="O1408">
        <v>28</v>
      </c>
      <c r="S1408">
        <v>2.5</v>
      </c>
      <c r="T1408">
        <v>3.6</v>
      </c>
      <c r="U1408">
        <v>7</v>
      </c>
      <c r="V1408">
        <v>393</v>
      </c>
      <c r="W1408">
        <v>15</v>
      </c>
      <c r="X1408" t="s">
        <v>568</v>
      </c>
    </row>
    <row r="1409" spans="1:24">
      <c r="A1409" t="str">
        <f>Hyperlink("https://www.diodes.com/part/view/DMT3020LFDFQ","DMT3020LFDFQ")</f>
        <v>DMT3020LFDFQ</v>
      </c>
      <c r="B1409" t="str">
        <f>Hyperlink("https://www.diodes.com/assets/Datasheets/DMT3020LFDFQ.pdf","DMT3020LFDFQ Datasheet")</f>
        <v>DMT3020LFDFQ Datasheet</v>
      </c>
      <c r="C1409" t="s">
        <v>504</v>
      </c>
      <c r="D1409" t="s">
        <v>25</v>
      </c>
      <c r="E1409" t="s">
        <v>33</v>
      </c>
      <c r="F1409" t="s">
        <v>27</v>
      </c>
      <c r="G1409" t="s">
        <v>28</v>
      </c>
      <c r="H1409">
        <v>30</v>
      </c>
      <c r="I1409">
        <v>20</v>
      </c>
      <c r="J1409">
        <v>8.4</v>
      </c>
      <c r="L1409">
        <v>1.8</v>
      </c>
      <c r="N1409">
        <v>17</v>
      </c>
      <c r="O1409">
        <v>28</v>
      </c>
      <c r="S1409">
        <v>2.5</v>
      </c>
      <c r="T1409">
        <v>3.6</v>
      </c>
      <c r="U1409">
        <v>7</v>
      </c>
      <c r="V1409">
        <v>393</v>
      </c>
      <c r="W1409">
        <v>15</v>
      </c>
      <c r="X1409" t="s">
        <v>568</v>
      </c>
    </row>
    <row r="1410" spans="1:24">
      <c r="A1410" t="str">
        <f>Hyperlink("https://www.diodes.com/part/view/DMT3020LFVW","DMT3020LFVW")</f>
        <v>DMT3020LFVW</v>
      </c>
      <c r="B1410" t="str">
        <f>Hyperlink("https://www.diodes.com/assets/Datasheets/DMT3020LFVW.pdf","DMT3020LFVW Datasheet")</f>
        <v>DMT3020LFVW Datasheet</v>
      </c>
      <c r="C1410" t="s">
        <v>504</v>
      </c>
      <c r="D1410" t="s">
        <v>28</v>
      </c>
      <c r="E1410" t="s">
        <v>26</v>
      </c>
      <c r="F1410" t="s">
        <v>27</v>
      </c>
      <c r="G1410" t="s">
        <v>28</v>
      </c>
      <c r="H1410">
        <v>30</v>
      </c>
      <c r="I1410">
        <v>20</v>
      </c>
      <c r="K1410">
        <v>38</v>
      </c>
      <c r="L1410">
        <v>2</v>
      </c>
      <c r="N1410">
        <v>17</v>
      </c>
      <c r="O1410">
        <v>28</v>
      </c>
      <c r="S1410">
        <v>2.5</v>
      </c>
      <c r="T1410">
        <v>3.6</v>
      </c>
      <c r="U1410">
        <v>7</v>
      </c>
      <c r="V1410">
        <v>393</v>
      </c>
      <c r="W1410">
        <v>15</v>
      </c>
      <c r="X1410" t="s">
        <v>655</v>
      </c>
    </row>
    <row r="1411" spans="1:24">
      <c r="A1411" t="str">
        <f>Hyperlink("https://www.diodes.com/part/view/DMT3020LSD","DMT3020LSD")</f>
        <v>DMT3020LSD</v>
      </c>
      <c r="B1411" t="str">
        <f>Hyperlink("https://www.diodes.com/assets/Datasheets/DMT3020LSD.pdf","DMT3020LSD Datasheet")</f>
        <v>DMT3020LSD Datasheet</v>
      </c>
      <c r="C1411" t="s">
        <v>34</v>
      </c>
      <c r="D1411" t="s">
        <v>28</v>
      </c>
      <c r="E1411" t="s">
        <v>26</v>
      </c>
      <c r="F1411" t="s">
        <v>35</v>
      </c>
      <c r="G1411" t="s">
        <v>28</v>
      </c>
      <c r="H1411">
        <v>30</v>
      </c>
      <c r="I1411">
        <v>20</v>
      </c>
      <c r="K1411">
        <v>16</v>
      </c>
      <c r="L1411">
        <v>1.5</v>
      </c>
      <c r="N1411">
        <v>20</v>
      </c>
      <c r="O1411">
        <v>32</v>
      </c>
      <c r="S1411">
        <v>2.5</v>
      </c>
      <c r="T1411">
        <v>3.6</v>
      </c>
      <c r="U1411">
        <v>7</v>
      </c>
      <c r="V1411">
        <v>393</v>
      </c>
      <c r="W1411">
        <v>15</v>
      </c>
      <c r="X1411" t="s">
        <v>155</v>
      </c>
    </row>
    <row r="1412" spans="1:24">
      <c r="A1412" t="str">
        <f>Hyperlink("https://www.diodes.com/part/view/DMT3020LSDQ","DMT3020LSDQ")</f>
        <v>DMT3020LSDQ</v>
      </c>
      <c r="B1412" t="str">
        <f>Hyperlink("https://www.diodes.com/assets/Datasheets/DMT3020LSDQ.pdf","DMT3020LSDQ Datasheet")</f>
        <v>DMT3020LSDQ Datasheet</v>
      </c>
      <c r="C1412" t="s">
        <v>34</v>
      </c>
      <c r="D1412" t="s">
        <v>25</v>
      </c>
      <c r="E1412" t="s">
        <v>33</v>
      </c>
      <c r="F1412" t="s">
        <v>35</v>
      </c>
      <c r="G1412" t="s">
        <v>28</v>
      </c>
      <c r="H1412">
        <v>30</v>
      </c>
      <c r="I1412">
        <v>20</v>
      </c>
      <c r="K1412">
        <v>16</v>
      </c>
      <c r="L1412">
        <v>1.5</v>
      </c>
      <c r="N1412">
        <v>20</v>
      </c>
      <c r="O1412">
        <v>32</v>
      </c>
      <c r="S1412">
        <v>2.5</v>
      </c>
      <c r="T1412">
        <v>3.6</v>
      </c>
      <c r="U1412">
        <v>7</v>
      </c>
      <c r="V1412">
        <v>393</v>
      </c>
      <c r="W1412">
        <v>15</v>
      </c>
      <c r="X1412" t="s">
        <v>155</v>
      </c>
    </row>
    <row r="1413" spans="1:24">
      <c r="A1413" t="str">
        <f>Hyperlink("https://www.diodes.com/part/view/DMT3020UFDB","DMT3020UFDB")</f>
        <v>DMT3020UFDB</v>
      </c>
      <c r="B1413" t="str">
        <f>Hyperlink("https://www.diodes.com/assets/Datasheets/DMT3020UFDB.pdf","DMT3020UFDB Datasheet")</f>
        <v>DMT3020UFDB Datasheet</v>
      </c>
      <c r="C1413" t="s">
        <v>34</v>
      </c>
      <c r="D1413" t="s">
        <v>28</v>
      </c>
      <c r="E1413" t="s">
        <v>26</v>
      </c>
      <c r="F1413" t="s">
        <v>35</v>
      </c>
      <c r="G1413" t="s">
        <v>25</v>
      </c>
      <c r="H1413">
        <v>30</v>
      </c>
      <c r="I1413">
        <v>12</v>
      </c>
      <c r="J1413">
        <v>6.5</v>
      </c>
      <c r="L1413">
        <v>1.3</v>
      </c>
      <c r="N1413">
        <v>21</v>
      </c>
      <c r="O1413">
        <v>30</v>
      </c>
      <c r="S1413">
        <v>1.7</v>
      </c>
      <c r="T1413">
        <v>4.6</v>
      </c>
      <c r="U1413">
        <v>8.8</v>
      </c>
      <c r="X1413" t="s">
        <v>125</v>
      </c>
    </row>
    <row r="1414" spans="1:24">
      <c r="A1414" t="str">
        <f>Hyperlink("https://www.diodes.com/part/view/DMT3022UEV","DMT3022UEV")</f>
        <v>DMT3022UEV</v>
      </c>
      <c r="B1414" t="str">
        <f>Hyperlink("https://www.diodes.com/assets/Datasheets/DMT3022UEV.pdf","DMT3022UEV Datasheet")</f>
        <v>DMT3022UEV Datasheet</v>
      </c>
      <c r="C1414" t="s">
        <v>24</v>
      </c>
      <c r="D1414" t="s">
        <v>28</v>
      </c>
      <c r="E1414" t="s">
        <v>26</v>
      </c>
      <c r="F1414" t="s">
        <v>35</v>
      </c>
      <c r="G1414" t="s">
        <v>25</v>
      </c>
      <c r="H1414">
        <v>30</v>
      </c>
      <c r="I1414">
        <v>12</v>
      </c>
      <c r="K1414">
        <v>17</v>
      </c>
      <c r="L1414">
        <v>1.8</v>
      </c>
      <c r="N1414">
        <v>22</v>
      </c>
      <c r="O1414">
        <v>28</v>
      </c>
      <c r="S1414">
        <v>1.8</v>
      </c>
      <c r="T1414">
        <v>6.9</v>
      </c>
      <c r="U1414">
        <v>13.9</v>
      </c>
      <c r="V1414">
        <v>903</v>
      </c>
      <c r="W1414">
        <v>15</v>
      </c>
      <c r="X1414" t="s">
        <v>938</v>
      </c>
    </row>
    <row r="1415" spans="1:24">
      <c r="A1415" t="str">
        <f>Hyperlink("https://www.diodes.com/part/view/DMT30M9LPS","DMT30M9LPS")</f>
        <v>DMT30M9LPS</v>
      </c>
      <c r="B1415" t="str">
        <f>Hyperlink("https://www.diodes.com/assets/Datasheets/DMT30M9LPS.pdf","DMT30M9LPS Datasheet")</f>
        <v>DMT30M9LPS Datasheet</v>
      </c>
      <c r="C1415" t="s">
        <v>504</v>
      </c>
      <c r="D1415" t="s">
        <v>28</v>
      </c>
      <c r="E1415" t="s">
        <v>26</v>
      </c>
      <c r="F1415" t="s">
        <v>27</v>
      </c>
      <c r="G1415" t="s">
        <v>28</v>
      </c>
      <c r="H1415">
        <v>30</v>
      </c>
      <c r="I1415">
        <v>20</v>
      </c>
      <c r="K1415">
        <v>100</v>
      </c>
      <c r="L1415">
        <v>2.6</v>
      </c>
      <c r="M1415">
        <v>1.1</v>
      </c>
      <c r="N1415">
        <v>1</v>
      </c>
      <c r="O1415">
        <v>1.6</v>
      </c>
      <c r="S1415">
        <v>3</v>
      </c>
      <c r="T1415">
        <v>71.3</v>
      </c>
      <c r="U1415">
        <v>160.5</v>
      </c>
      <c r="V1415">
        <v>12121</v>
      </c>
      <c r="W1415">
        <v>20</v>
      </c>
      <c r="X1415" t="s">
        <v>617</v>
      </c>
    </row>
    <row r="1416" spans="1:24">
      <c r="A1416" t="str">
        <f>Hyperlink("https://www.diodes.com/part/view/DMT31M6LPS","DMT31M6LPS")</f>
        <v>DMT31M6LPS</v>
      </c>
      <c r="B1416" t="str">
        <f>Hyperlink("https://www.diodes.com/assets/Datasheets/DMT31M6LPS.pdf","DMT31M6LPS Datasheet")</f>
        <v>DMT31M6LPS Datasheet</v>
      </c>
      <c r="C1416" t="s">
        <v>504</v>
      </c>
      <c r="D1416" t="s">
        <v>28</v>
      </c>
      <c r="E1416" t="s">
        <v>26</v>
      </c>
      <c r="F1416" t="s">
        <v>27</v>
      </c>
      <c r="G1416" t="s">
        <v>28</v>
      </c>
      <c r="H1416">
        <v>30</v>
      </c>
      <c r="I1416">
        <v>20</v>
      </c>
      <c r="J1416">
        <v>35.8</v>
      </c>
      <c r="K1416">
        <v>150</v>
      </c>
      <c r="L1416">
        <v>2.5</v>
      </c>
      <c r="M1416">
        <v>100</v>
      </c>
      <c r="N1416">
        <v>1.35</v>
      </c>
      <c r="O1416">
        <v>2.4</v>
      </c>
      <c r="R1416">
        <v>1</v>
      </c>
      <c r="S1416">
        <v>3</v>
      </c>
      <c r="T1416">
        <v>59.1</v>
      </c>
      <c r="U1416">
        <v>123</v>
      </c>
      <c r="V1416">
        <v>7019</v>
      </c>
      <c r="W1416">
        <v>15</v>
      </c>
      <c r="X1416" t="s">
        <v>791</v>
      </c>
    </row>
    <row r="1417" spans="1:24">
      <c r="A1417" t="str">
        <f>Hyperlink("https://www.diodes.com/part/view/DMT31M7LPS","DMT31M7LPS")</f>
        <v>DMT31M7LPS</v>
      </c>
      <c r="B1417" t="str">
        <f>Hyperlink("https://www.diodes.com/assets/Datasheets/DMT31M7LPS.pdf","DMT31M7LPS Datasheet")</f>
        <v>DMT31M7LPS Datasheet</v>
      </c>
      <c r="C1417" t="s">
        <v>24</v>
      </c>
      <c r="D1417" t="s">
        <v>28</v>
      </c>
      <c r="E1417" t="s">
        <v>26</v>
      </c>
      <c r="F1417" t="s">
        <v>27</v>
      </c>
      <c r="G1417" t="s">
        <v>28</v>
      </c>
      <c r="H1417">
        <v>30</v>
      </c>
      <c r="I1417">
        <v>20</v>
      </c>
      <c r="J1417">
        <v>30</v>
      </c>
      <c r="K1417">
        <v>100</v>
      </c>
      <c r="L1417">
        <v>2.4</v>
      </c>
      <c r="N1417">
        <v>1.7</v>
      </c>
      <c r="O1417">
        <v>2.4</v>
      </c>
      <c r="S1417">
        <v>3</v>
      </c>
      <c r="T1417">
        <v>45</v>
      </c>
      <c r="U1417">
        <v>90</v>
      </c>
      <c r="V1417">
        <v>5741</v>
      </c>
      <c r="W1417">
        <v>15</v>
      </c>
      <c r="X1417" t="s">
        <v>617</v>
      </c>
    </row>
    <row r="1418" spans="1:24">
      <c r="A1418" t="str">
        <f>Hyperlink("https://www.diodes.com/part/view/DMT31M7LSS","DMT31M7LSS")</f>
        <v>DMT31M7LSS</v>
      </c>
      <c r="B1418" t="str">
        <f>Hyperlink("https://www.diodes.com/assets/Datasheets/DMT31M7LSS.pdf","DMT31M7LSS Datasheet")</f>
        <v>DMT31M7LSS Datasheet</v>
      </c>
      <c r="C1418" t="s">
        <v>24</v>
      </c>
      <c r="D1418" t="s">
        <v>28</v>
      </c>
      <c r="E1418" t="s">
        <v>26</v>
      </c>
      <c r="F1418" t="s">
        <v>27</v>
      </c>
      <c r="G1418" t="s">
        <v>28</v>
      </c>
      <c r="H1418">
        <v>30</v>
      </c>
      <c r="I1418">
        <v>20</v>
      </c>
      <c r="J1418">
        <v>25</v>
      </c>
      <c r="K1418">
        <v>78</v>
      </c>
      <c r="L1418">
        <v>2.2</v>
      </c>
      <c r="N1418">
        <v>2.7</v>
      </c>
      <c r="O1418">
        <v>4</v>
      </c>
      <c r="R1418">
        <v>1</v>
      </c>
      <c r="S1418">
        <v>3</v>
      </c>
      <c r="T1418">
        <v>43</v>
      </c>
      <c r="U1418">
        <v>84</v>
      </c>
      <c r="V1418">
        <v>5492</v>
      </c>
      <c r="W1418">
        <v>15</v>
      </c>
      <c r="X1418" t="s">
        <v>155</v>
      </c>
    </row>
    <row r="1419" spans="1:24">
      <c r="A1419" t="str">
        <f>Hyperlink("https://www.diodes.com/part/view/DMT32M4LFG","DMT32M4LFG")</f>
        <v>DMT32M4LFG</v>
      </c>
      <c r="B1419" t="str">
        <f>Hyperlink("https://www.diodes.com/assets/Datasheets/DMT32M4LFG.pdf","DMT32M4LFG Datasheet")</f>
        <v>DMT32M4LFG Datasheet</v>
      </c>
      <c r="C1419" t="s">
        <v>504</v>
      </c>
      <c r="D1419" t="s">
        <v>28</v>
      </c>
      <c r="E1419" t="s">
        <v>26</v>
      </c>
      <c r="F1419" t="s">
        <v>27</v>
      </c>
      <c r="G1419" t="s">
        <v>28</v>
      </c>
      <c r="H1419">
        <v>30</v>
      </c>
      <c r="I1419">
        <v>20</v>
      </c>
      <c r="J1419">
        <v>30</v>
      </c>
      <c r="K1419">
        <v>100</v>
      </c>
      <c r="L1419">
        <v>1.1</v>
      </c>
      <c r="M1419">
        <v>2.6</v>
      </c>
      <c r="N1419">
        <v>1.7</v>
      </c>
      <c r="O1419">
        <v>2.8</v>
      </c>
      <c r="S1419">
        <v>3</v>
      </c>
      <c r="T1419">
        <v>35.4</v>
      </c>
      <c r="U1419">
        <v>75</v>
      </c>
      <c r="V1419">
        <v>4366</v>
      </c>
      <c r="W1419">
        <v>15</v>
      </c>
      <c r="X1419" t="s">
        <v>529</v>
      </c>
    </row>
    <row r="1420" spans="1:24">
      <c r="A1420" t="str">
        <f>Hyperlink("https://www.diodes.com/part/view/DMT32M4LPSW","DMT32M4LPSW")</f>
        <v>DMT32M4LPSW</v>
      </c>
      <c r="B1420" t="str">
        <f>Hyperlink("https://www.diodes.com/assets/Datasheets/DMT32M4LPSW.pdf","DMT32M4LPSW Datasheet")</f>
        <v>DMT32M4LPSW Datasheet</v>
      </c>
      <c r="C1420" t="s">
        <v>504</v>
      </c>
      <c r="D1420" t="s">
        <v>28</v>
      </c>
      <c r="E1420" t="s">
        <v>26</v>
      </c>
      <c r="F1420" t="s">
        <v>27</v>
      </c>
      <c r="G1420" t="s">
        <v>28</v>
      </c>
      <c r="H1420">
        <v>30</v>
      </c>
      <c r="I1420">
        <v>20</v>
      </c>
      <c r="K1420">
        <v>100</v>
      </c>
      <c r="L1420">
        <v>2.3</v>
      </c>
      <c r="M1420">
        <v>83</v>
      </c>
      <c r="N1420">
        <v>1.7</v>
      </c>
      <c r="O1420">
        <v>2.8</v>
      </c>
      <c r="R1420">
        <v>1</v>
      </c>
      <c r="S1420">
        <v>3</v>
      </c>
      <c r="T1420">
        <v>34</v>
      </c>
      <c r="U1420">
        <v>68</v>
      </c>
      <c r="V1420">
        <v>3944</v>
      </c>
      <c r="W1420">
        <v>15</v>
      </c>
      <c r="X1420" t="s">
        <v>757</v>
      </c>
    </row>
    <row r="1421" spans="1:24">
      <c r="A1421" t="str">
        <f>Hyperlink("https://www.diodes.com/part/view/DMT32M5LFG","DMT32M5LFG")</f>
        <v>DMT32M5LFG</v>
      </c>
      <c r="B1421" t="str">
        <f>Hyperlink("https://www.diodes.com/assets/Datasheets/DMT32M5LFG.pdf","DMT32M5LFG Datasheet")</f>
        <v>DMT32M5LFG Datasheet</v>
      </c>
      <c r="C1421" t="s">
        <v>504</v>
      </c>
      <c r="D1421" t="s">
        <v>28</v>
      </c>
      <c r="E1421" t="s">
        <v>26</v>
      </c>
      <c r="F1421" t="s">
        <v>27</v>
      </c>
      <c r="G1421" t="s">
        <v>28</v>
      </c>
      <c r="H1421">
        <v>30</v>
      </c>
      <c r="I1421">
        <v>20</v>
      </c>
      <c r="J1421">
        <v>30</v>
      </c>
      <c r="K1421">
        <v>100</v>
      </c>
      <c r="L1421">
        <v>2.3</v>
      </c>
      <c r="M1421">
        <v>50</v>
      </c>
      <c r="N1421">
        <v>1.7</v>
      </c>
      <c r="O1421">
        <v>2.8</v>
      </c>
      <c r="S1421">
        <v>3</v>
      </c>
      <c r="T1421">
        <v>34</v>
      </c>
      <c r="U1421">
        <v>67.7</v>
      </c>
      <c r="V1421">
        <v>4066</v>
      </c>
      <c r="W1421">
        <v>15</v>
      </c>
      <c r="X1421" t="s">
        <v>529</v>
      </c>
    </row>
    <row r="1422" spans="1:24">
      <c r="A1422" t="str">
        <f>Hyperlink("https://www.diodes.com/part/view/DMT32M5LPS","DMT32M5LPS")</f>
        <v>DMT32M5LPS</v>
      </c>
      <c r="B1422" t="str">
        <f>Hyperlink("https://www.diodes.com/assets/Datasheets/DMT32M5LPS.pdf","DMT32M5LPS Datasheet")</f>
        <v>DMT32M5LPS Datasheet</v>
      </c>
      <c r="C1422" t="s">
        <v>504</v>
      </c>
      <c r="D1422" t="s">
        <v>28</v>
      </c>
      <c r="E1422" t="s">
        <v>26</v>
      </c>
      <c r="F1422" t="s">
        <v>27</v>
      </c>
      <c r="G1422" t="s">
        <v>28</v>
      </c>
      <c r="H1422">
        <v>30</v>
      </c>
      <c r="I1422">
        <v>20</v>
      </c>
      <c r="K1422">
        <v>150</v>
      </c>
      <c r="L1422">
        <v>3.2</v>
      </c>
      <c r="M1422">
        <v>100</v>
      </c>
      <c r="N1422">
        <v>2</v>
      </c>
      <c r="O1422">
        <v>3</v>
      </c>
      <c r="S1422">
        <v>3</v>
      </c>
      <c r="T1422">
        <v>34</v>
      </c>
      <c r="U1422">
        <v>68</v>
      </c>
      <c r="V1422">
        <v>3944</v>
      </c>
      <c r="W1422">
        <v>25</v>
      </c>
      <c r="X1422" t="s">
        <v>617</v>
      </c>
    </row>
    <row r="1423" spans="1:24">
      <c r="A1423" t="str">
        <f>Hyperlink("https://www.diodes.com/part/view/DMT32M5LPSW","DMT32M5LPSW")</f>
        <v>DMT32M5LPSW</v>
      </c>
      <c r="B1423" t="str">
        <f>Hyperlink("https://www.diodes.com/assets/Datasheets/DMT32M5LPSW.pdf","DMT32M5LPSW Datasheet")</f>
        <v>DMT32M5LPSW Datasheet</v>
      </c>
      <c r="C1423" t="s">
        <v>504</v>
      </c>
      <c r="D1423" t="s">
        <v>28</v>
      </c>
      <c r="E1423" t="s">
        <v>26</v>
      </c>
      <c r="F1423" t="s">
        <v>27</v>
      </c>
      <c r="G1423" t="s">
        <v>28</v>
      </c>
      <c r="H1423">
        <v>30</v>
      </c>
      <c r="I1423">
        <v>20</v>
      </c>
      <c r="K1423">
        <v>100</v>
      </c>
      <c r="L1423">
        <v>3.2</v>
      </c>
      <c r="M1423">
        <v>100</v>
      </c>
      <c r="N1423">
        <v>2</v>
      </c>
      <c r="O1423">
        <v>3</v>
      </c>
      <c r="S1423">
        <v>3</v>
      </c>
      <c r="T1423">
        <v>34</v>
      </c>
      <c r="U1423">
        <v>68</v>
      </c>
      <c r="V1423">
        <v>4389</v>
      </c>
      <c r="W1423">
        <v>15</v>
      </c>
      <c r="X1423" t="s">
        <v>757</v>
      </c>
    </row>
    <row r="1424" spans="1:24">
      <c r="A1424" t="str">
        <f>Hyperlink("https://www.diodes.com/part/view/DMT32M6LDG","DMT32M6LDG")</f>
        <v>DMT32M6LDG</v>
      </c>
      <c r="B1424" t="str">
        <f>Hyperlink("https://www.diodes.com/assets/Datasheets/DMT32M6LDG.pdf","DMT32M6LDG Datasheet")</f>
        <v>DMT32M6LDG Datasheet</v>
      </c>
      <c r="C1424" t="s">
        <v>948</v>
      </c>
      <c r="D1424" t="s">
        <v>28</v>
      </c>
      <c r="E1424" t="s">
        <v>26</v>
      </c>
      <c r="F1424" t="s">
        <v>35</v>
      </c>
      <c r="G1424" t="s">
        <v>28</v>
      </c>
      <c r="H1424">
        <v>30</v>
      </c>
      <c r="I1424" t="s">
        <v>949</v>
      </c>
      <c r="J1424">
        <v>21</v>
      </c>
      <c r="K1424">
        <v>47</v>
      </c>
      <c r="L1424">
        <v>1.1</v>
      </c>
      <c r="N1424" t="s">
        <v>950</v>
      </c>
      <c r="O1424" t="s">
        <v>951</v>
      </c>
      <c r="R1424">
        <v>1</v>
      </c>
      <c r="S1424">
        <v>2.2</v>
      </c>
      <c r="T1424" t="s">
        <v>952</v>
      </c>
      <c r="U1424" t="s">
        <v>953</v>
      </c>
      <c r="V1424" t="s">
        <v>954</v>
      </c>
      <c r="W1424">
        <v>15</v>
      </c>
      <c r="X1424" t="s">
        <v>955</v>
      </c>
    </row>
    <row r="1425" spans="1:24">
      <c r="A1425" t="str">
        <f>Hyperlink("https://www.diodes.com/part/view/DMT34M1LPS","DMT34M1LPS")</f>
        <v>DMT34M1LPS</v>
      </c>
      <c r="B1425" t="str">
        <f>Hyperlink("https://www.diodes.com/assets/Datasheets/DMT34M1LPS.pdf","DMT34M1LPS Datasheet")</f>
        <v>DMT34M1LPS Datasheet</v>
      </c>
      <c r="C1425" t="s">
        <v>24</v>
      </c>
      <c r="D1425" t="s">
        <v>28</v>
      </c>
      <c r="E1425" t="s">
        <v>26</v>
      </c>
      <c r="F1425" t="s">
        <v>27</v>
      </c>
      <c r="G1425" t="s">
        <v>28</v>
      </c>
      <c r="H1425">
        <v>30</v>
      </c>
      <c r="I1425">
        <v>20</v>
      </c>
      <c r="J1425">
        <v>21</v>
      </c>
      <c r="K1425">
        <v>100</v>
      </c>
      <c r="L1425">
        <v>2.2</v>
      </c>
      <c r="M1425">
        <v>42</v>
      </c>
      <c r="N1425">
        <v>3.2</v>
      </c>
      <c r="O1425">
        <v>5.2</v>
      </c>
      <c r="S1425">
        <v>3</v>
      </c>
      <c r="T1425">
        <v>20</v>
      </c>
      <c r="U1425">
        <v>39</v>
      </c>
      <c r="V1425">
        <v>2242</v>
      </c>
      <c r="W1425">
        <v>15</v>
      </c>
      <c r="X1425" t="s">
        <v>617</v>
      </c>
    </row>
    <row r="1426" spans="1:24">
      <c r="A1426" t="str">
        <f>Hyperlink("https://www.diodes.com/part/view/DMT34M8LFDE","DMT34M8LFDE")</f>
        <v>DMT34M8LFDE</v>
      </c>
      <c r="B1426" t="str">
        <f>Hyperlink("https://www.diodes.com/assets/Datasheets/DMT34M8LFDE.pdf","DMT34M8LFDE Datasheet")</f>
        <v>DMT34M8LFDE Datasheet</v>
      </c>
      <c r="C1426" t="s">
        <v>653</v>
      </c>
      <c r="D1426" t="s">
        <v>28</v>
      </c>
      <c r="E1426" t="s">
        <v>26</v>
      </c>
      <c r="F1426" t="s">
        <v>27</v>
      </c>
      <c r="G1426" t="s">
        <v>28</v>
      </c>
      <c r="H1426">
        <v>30</v>
      </c>
      <c r="I1426">
        <v>20</v>
      </c>
      <c r="J1426">
        <v>19</v>
      </c>
      <c r="L1426">
        <v>2.2</v>
      </c>
      <c r="N1426">
        <v>4</v>
      </c>
      <c r="O1426">
        <v>7.25</v>
      </c>
      <c r="R1426">
        <v>1</v>
      </c>
      <c r="S1426">
        <v>2.5</v>
      </c>
      <c r="T1426">
        <v>7.3</v>
      </c>
      <c r="U1426">
        <v>15.4</v>
      </c>
      <c r="V1426">
        <v>1024</v>
      </c>
      <c r="W1426">
        <v>15</v>
      </c>
      <c r="X1426" t="s">
        <v>567</v>
      </c>
    </row>
    <row r="1427" spans="1:24">
      <c r="A1427" t="str">
        <f>Hyperlink("https://www.diodes.com/part/view/DMT35M4LFDF","DMT35M4LFDF")</f>
        <v>DMT35M4LFDF</v>
      </c>
      <c r="B1427" t="str">
        <f>Hyperlink("https://www.diodes.com/assets/Datasheets/DMT35M4LFDF.pdf","DMT35M4LFDF Datasheet")</f>
        <v>DMT35M4LFDF Datasheet</v>
      </c>
      <c r="C1427" t="s">
        <v>504</v>
      </c>
      <c r="D1427" t="s">
        <v>28</v>
      </c>
      <c r="E1427" t="s">
        <v>26</v>
      </c>
      <c r="F1427" t="s">
        <v>27</v>
      </c>
      <c r="G1427" t="s">
        <v>28</v>
      </c>
      <c r="H1427">
        <v>30</v>
      </c>
      <c r="I1427">
        <v>20</v>
      </c>
      <c r="J1427">
        <v>13</v>
      </c>
      <c r="L1427">
        <v>1.7</v>
      </c>
      <c r="M1427">
        <v>18.7</v>
      </c>
      <c r="N1427">
        <v>6</v>
      </c>
      <c r="O1427">
        <v>10.5</v>
      </c>
      <c r="S1427">
        <v>2.5</v>
      </c>
      <c r="T1427">
        <v>8.1</v>
      </c>
      <c r="U1427">
        <v>14.9</v>
      </c>
      <c r="V1427">
        <v>1009</v>
      </c>
      <c r="W1427">
        <v>15</v>
      </c>
      <c r="X1427" t="s">
        <v>568</v>
      </c>
    </row>
    <row r="1428" spans="1:24">
      <c r="A1428" t="str">
        <f>Hyperlink("https://www.diodes.com/part/view/DMT35M4LFDF4","DMT35M4LFDF4")</f>
        <v>DMT35M4LFDF4</v>
      </c>
      <c r="B1428" t="str">
        <f>Hyperlink("https://www.diodes.com/assets/Datasheets/DMT35M4LFDF4.pdf","DMT35M4LFDF4 Datasheet")</f>
        <v>DMT35M4LFDF4 Datasheet</v>
      </c>
      <c r="C1428" t="s">
        <v>504</v>
      </c>
      <c r="D1428" t="s">
        <v>28</v>
      </c>
      <c r="E1428" t="s">
        <v>26</v>
      </c>
      <c r="F1428" t="s">
        <v>27</v>
      </c>
      <c r="G1428" t="s">
        <v>28</v>
      </c>
      <c r="H1428">
        <v>30</v>
      </c>
      <c r="I1428">
        <v>20</v>
      </c>
      <c r="J1428">
        <v>12</v>
      </c>
      <c r="L1428">
        <v>2.19</v>
      </c>
      <c r="N1428">
        <v>9</v>
      </c>
      <c r="R1428">
        <v>1.15</v>
      </c>
      <c r="S1428">
        <v>2.5</v>
      </c>
      <c r="T1428">
        <v>8.1</v>
      </c>
      <c r="U1428">
        <v>14.9</v>
      </c>
      <c r="V1428">
        <v>1009</v>
      </c>
      <c r="W1428">
        <v>15</v>
      </c>
      <c r="X1428" t="s">
        <v>913</v>
      </c>
    </row>
    <row r="1429" spans="1:24">
      <c r="A1429" t="str">
        <f>Hyperlink("https://www.diodes.com/part/view/DMT35M4LFVW","DMT35M4LFVW")</f>
        <v>DMT35M4LFVW</v>
      </c>
      <c r="B1429" t="str">
        <f>Hyperlink("https://www.diodes.com/assets/Datasheets/DMT35M4LFVW.pdf","DMT35M4LFVW Datasheet")</f>
        <v>DMT35M4LFVW Datasheet</v>
      </c>
      <c r="C1429" t="s">
        <v>504</v>
      </c>
      <c r="D1429" t="s">
        <v>28</v>
      </c>
      <c r="E1429" t="s">
        <v>26</v>
      </c>
      <c r="F1429" t="s">
        <v>27</v>
      </c>
      <c r="G1429" t="s">
        <v>28</v>
      </c>
      <c r="H1429">
        <v>30</v>
      </c>
      <c r="I1429">
        <v>20</v>
      </c>
      <c r="K1429">
        <v>60</v>
      </c>
      <c r="L1429">
        <v>2.2</v>
      </c>
      <c r="N1429">
        <v>6</v>
      </c>
      <c r="O1429">
        <v>9</v>
      </c>
      <c r="S1429">
        <v>2.5</v>
      </c>
      <c r="T1429">
        <v>7.9</v>
      </c>
      <c r="U1429">
        <v>16.1</v>
      </c>
      <c r="V1429">
        <v>982</v>
      </c>
      <c r="W1429">
        <v>15</v>
      </c>
      <c r="X1429" t="s">
        <v>655</v>
      </c>
    </row>
    <row r="1430" spans="1:24">
      <c r="A1430" t="str">
        <f>Hyperlink("https://www.diodes.com/part/view/DMT35M4LPSW","DMT35M4LPSW")</f>
        <v>DMT35M4LPSW</v>
      </c>
      <c r="B1430" t="str">
        <f>Hyperlink("https://www.diodes.com/assets/Datasheets/DMT35M4LPSW.pdf","DMT35M4LPSW Datasheet")</f>
        <v>DMT35M4LPSW Datasheet</v>
      </c>
      <c r="C1430" t="s">
        <v>605</v>
      </c>
      <c r="D1430" t="s">
        <v>28</v>
      </c>
      <c r="E1430" t="s">
        <v>26</v>
      </c>
      <c r="F1430" t="s">
        <v>27</v>
      </c>
      <c r="G1430" t="s">
        <v>28</v>
      </c>
      <c r="H1430">
        <v>30</v>
      </c>
      <c r="I1430">
        <v>20</v>
      </c>
      <c r="K1430">
        <v>71.1</v>
      </c>
      <c r="L1430">
        <v>2.9</v>
      </c>
      <c r="M1430">
        <v>3</v>
      </c>
      <c r="N1430">
        <v>5.5</v>
      </c>
      <c r="O1430">
        <v>9.6</v>
      </c>
      <c r="S1430">
        <v>2.5</v>
      </c>
      <c r="T1430">
        <v>7.9</v>
      </c>
      <c r="U1430">
        <v>16</v>
      </c>
      <c r="V1430">
        <v>1029</v>
      </c>
      <c r="W1430">
        <v>15</v>
      </c>
      <c r="X1430" t="s">
        <v>757</v>
      </c>
    </row>
    <row r="1431" spans="1:24">
      <c r="A1431" t="str">
        <f>Hyperlink("https://www.diodes.com/part/view/DMT35M7LFV","DMT35M7LFV")</f>
        <v>DMT35M7LFV</v>
      </c>
      <c r="B1431" t="str">
        <f>Hyperlink("https://www.diodes.com/assets/Datasheets/DMT35M7LFV.pdf","DMT35M7LFV Datasheet")</f>
        <v>DMT35M7LFV Datasheet</v>
      </c>
      <c r="C1431" t="s">
        <v>504</v>
      </c>
      <c r="D1431" t="s">
        <v>28</v>
      </c>
      <c r="E1431" t="s">
        <v>26</v>
      </c>
      <c r="F1431" t="s">
        <v>27</v>
      </c>
      <c r="G1431" t="s">
        <v>25</v>
      </c>
      <c r="H1431">
        <v>30</v>
      </c>
      <c r="I1431">
        <v>20</v>
      </c>
      <c r="K1431">
        <v>76</v>
      </c>
      <c r="L1431">
        <v>1.98</v>
      </c>
      <c r="N1431">
        <v>5</v>
      </c>
      <c r="O1431">
        <v>8.6</v>
      </c>
      <c r="S1431">
        <v>2.4</v>
      </c>
      <c r="T1431">
        <v>21</v>
      </c>
      <c r="U1431">
        <v>36</v>
      </c>
      <c r="V1431">
        <v>1667</v>
      </c>
      <c r="W1431">
        <v>15</v>
      </c>
      <c r="X1431" t="s">
        <v>570</v>
      </c>
    </row>
    <row r="1432" spans="1:24">
      <c r="A1432" t="str">
        <f>Hyperlink("https://www.diodes.com/part/view/DMT35M8LDG","DMT35M8LDG")</f>
        <v>DMT35M8LDG</v>
      </c>
      <c r="B1432" t="str">
        <f>Hyperlink("https://www.diodes.com/assets/Datasheets/DMT35M8LDG.pdf","DMT35M8LDG Datasheet")</f>
        <v>DMT35M8LDG Datasheet</v>
      </c>
      <c r="C1432" t="s">
        <v>917</v>
      </c>
      <c r="D1432" t="s">
        <v>28</v>
      </c>
      <c r="E1432" t="s">
        <v>26</v>
      </c>
      <c r="F1432" t="s">
        <v>35</v>
      </c>
      <c r="G1432" t="s">
        <v>28</v>
      </c>
      <c r="H1432">
        <v>30</v>
      </c>
      <c r="I1432">
        <v>12</v>
      </c>
      <c r="J1432" t="s">
        <v>956</v>
      </c>
      <c r="L1432">
        <v>0.98</v>
      </c>
      <c r="N1432" t="s">
        <v>957</v>
      </c>
      <c r="O1432" t="s">
        <v>958</v>
      </c>
      <c r="R1432">
        <v>1</v>
      </c>
      <c r="S1432">
        <v>1.9</v>
      </c>
      <c r="T1432" t="s">
        <v>959</v>
      </c>
      <c r="U1432" t="s">
        <v>960</v>
      </c>
      <c r="V1432" t="s">
        <v>961</v>
      </c>
      <c r="W1432">
        <v>15</v>
      </c>
      <c r="X1432" t="s">
        <v>955</v>
      </c>
    </row>
    <row r="1433" spans="1:24">
      <c r="A1433" t="str">
        <f>Hyperlink("https://www.diodes.com/part/view/DMT36M1LPS","DMT36M1LPS")</f>
        <v>DMT36M1LPS</v>
      </c>
      <c r="B1433" t="str">
        <f>Hyperlink("https://www.diodes.com/assets/Datasheets/DMT36M1LPS.pdf","DMT36M1LPS Datasheet")</f>
        <v>DMT36M1LPS Datasheet</v>
      </c>
      <c r="C1433" t="s">
        <v>24</v>
      </c>
      <c r="D1433" t="s">
        <v>28</v>
      </c>
      <c r="E1433" t="s">
        <v>26</v>
      </c>
      <c r="F1433" t="s">
        <v>27</v>
      </c>
      <c r="G1433" t="s">
        <v>28</v>
      </c>
      <c r="H1433">
        <v>30</v>
      </c>
      <c r="I1433">
        <v>20</v>
      </c>
      <c r="J1433">
        <v>16</v>
      </c>
      <c r="K1433">
        <v>65</v>
      </c>
      <c r="L1433">
        <v>2.6</v>
      </c>
      <c r="M1433">
        <v>42</v>
      </c>
      <c r="N1433">
        <v>6</v>
      </c>
      <c r="O1433">
        <v>9.8</v>
      </c>
      <c r="S1433">
        <v>3</v>
      </c>
      <c r="T1433">
        <v>8.4</v>
      </c>
      <c r="U1433">
        <v>16.7</v>
      </c>
      <c r="V1433">
        <v>1155</v>
      </c>
      <c r="W1433">
        <v>15</v>
      </c>
      <c r="X1433" t="s">
        <v>617</v>
      </c>
    </row>
    <row r="1434" spans="1:24">
      <c r="A1434" t="str">
        <f>Hyperlink("https://www.diodes.com/part/view/DMT4002LPS","DMT4002LPS")</f>
        <v>DMT4002LPS</v>
      </c>
      <c r="B1434" t="str">
        <f>Hyperlink("https://www.diodes.com/assets/Datasheets/DMT4002LPS.pdf","DMT4002LPS Datasheet")</f>
        <v>DMT4002LPS Datasheet</v>
      </c>
      <c r="C1434" t="s">
        <v>700</v>
      </c>
      <c r="D1434" t="s">
        <v>28</v>
      </c>
      <c r="E1434" t="s">
        <v>26</v>
      </c>
      <c r="F1434" t="s">
        <v>27</v>
      </c>
      <c r="G1434" t="s">
        <v>28</v>
      </c>
      <c r="H1434">
        <v>40</v>
      </c>
      <c r="I1434">
        <v>20</v>
      </c>
      <c r="K1434">
        <v>100</v>
      </c>
      <c r="L1434">
        <v>2.3</v>
      </c>
      <c r="M1434">
        <v>104</v>
      </c>
      <c r="N1434">
        <v>1.8</v>
      </c>
      <c r="O1434">
        <v>3.1</v>
      </c>
      <c r="S1434">
        <v>3</v>
      </c>
      <c r="T1434">
        <v>55.2</v>
      </c>
      <c r="U1434">
        <v>116.1</v>
      </c>
      <c r="V1434">
        <v>6771</v>
      </c>
      <c r="W1434">
        <v>20</v>
      </c>
      <c r="X1434" t="s">
        <v>617</v>
      </c>
    </row>
    <row r="1435" spans="1:24">
      <c r="A1435" t="str">
        <f>Hyperlink("https://www.diodes.com/part/view/DMT4003SCT","DMT4003SCT")</f>
        <v>DMT4003SCT</v>
      </c>
      <c r="B1435" t="str">
        <f>Hyperlink("https://www.diodes.com/assets/Datasheets/DMT4003SCT.pdf","DMT4003SCT Datasheet")</f>
        <v>DMT4003SCT Datasheet</v>
      </c>
      <c r="C1435" t="s">
        <v>700</v>
      </c>
      <c r="D1435" t="s">
        <v>28</v>
      </c>
      <c r="E1435" t="s">
        <v>26</v>
      </c>
      <c r="F1435" t="s">
        <v>27</v>
      </c>
      <c r="G1435" t="s">
        <v>28</v>
      </c>
      <c r="H1435">
        <v>40</v>
      </c>
      <c r="I1435">
        <v>20</v>
      </c>
      <c r="K1435">
        <v>205</v>
      </c>
      <c r="L1435">
        <v>2.4</v>
      </c>
      <c r="M1435">
        <v>156</v>
      </c>
      <c r="N1435">
        <v>3</v>
      </c>
      <c r="S1435">
        <v>4</v>
      </c>
      <c r="U1435">
        <v>75.6</v>
      </c>
      <c r="V1435">
        <v>6865</v>
      </c>
      <c r="W1435">
        <v>20</v>
      </c>
      <c r="X1435" t="s">
        <v>753</v>
      </c>
    </row>
    <row r="1436" spans="1:24">
      <c r="A1436" t="str">
        <f>Hyperlink("https://www.diodes.com/part/view/DMT4004LPS","DMT4004LPS")</f>
        <v>DMT4004LPS</v>
      </c>
      <c r="B1436" t="str">
        <f>Hyperlink("https://www.diodes.com/assets/Datasheets/DMT4004LPS.pdf","DMT4004LPS Datasheet")</f>
        <v>DMT4004LPS Datasheet</v>
      </c>
      <c r="C1436" t="s">
        <v>700</v>
      </c>
      <c r="D1436" t="s">
        <v>25</v>
      </c>
      <c r="E1436" t="s">
        <v>26</v>
      </c>
      <c r="F1436" t="s">
        <v>27</v>
      </c>
      <c r="G1436" t="s">
        <v>28</v>
      </c>
      <c r="H1436">
        <v>40</v>
      </c>
      <c r="I1436">
        <v>20</v>
      </c>
      <c r="J1436">
        <v>26</v>
      </c>
      <c r="K1436">
        <v>90</v>
      </c>
      <c r="L1436">
        <v>2.6</v>
      </c>
      <c r="M1436">
        <v>138</v>
      </c>
      <c r="N1436">
        <v>2.5</v>
      </c>
      <c r="O1436">
        <v>4</v>
      </c>
      <c r="S1436">
        <v>3</v>
      </c>
      <c r="T1436">
        <v>34.6</v>
      </c>
      <c r="U1436">
        <v>82.2</v>
      </c>
      <c r="V1436">
        <v>4450</v>
      </c>
      <c r="W1436">
        <v>25</v>
      </c>
      <c r="X1436" t="s">
        <v>617</v>
      </c>
    </row>
    <row r="1437" spans="1:24">
      <c r="A1437" t="str">
        <f>Hyperlink("https://www.diodes.com/part/view/DMT4005SCT","DMT4005SCT")</f>
        <v>DMT4005SCT</v>
      </c>
      <c r="B1437" t="str">
        <f>Hyperlink("https://www.diodes.com/assets/Datasheets/DMT4005SCT.pdf","DMT4005SCT Datasheet")</f>
        <v>DMT4005SCT Datasheet</v>
      </c>
      <c r="C1437" t="s">
        <v>700</v>
      </c>
      <c r="D1437" t="s">
        <v>25</v>
      </c>
      <c r="E1437" t="s">
        <v>26</v>
      </c>
      <c r="F1437" t="s">
        <v>27</v>
      </c>
      <c r="G1437" t="s">
        <v>28</v>
      </c>
      <c r="H1437">
        <v>40</v>
      </c>
      <c r="I1437">
        <v>20</v>
      </c>
      <c r="K1437">
        <v>100</v>
      </c>
      <c r="L1437">
        <v>2.3</v>
      </c>
      <c r="M1437">
        <v>104</v>
      </c>
      <c r="N1437">
        <v>4.7</v>
      </c>
      <c r="S1437">
        <v>4</v>
      </c>
      <c r="U1437">
        <v>49.1</v>
      </c>
      <c r="V1437">
        <v>3062</v>
      </c>
      <c r="W1437">
        <v>20</v>
      </c>
      <c r="X1437" t="s">
        <v>962</v>
      </c>
    </row>
    <row r="1438" spans="1:24">
      <c r="A1438" t="str">
        <f>Hyperlink("https://www.diodes.com/part/view/DMT4008LFDF","DMT4008LFDF")</f>
        <v>DMT4008LFDF</v>
      </c>
      <c r="B1438" t="str">
        <f>Hyperlink("https://www.diodes.com/assets/Datasheets/DMT4008LFDF.pdf","DMT4008LFDF Datasheet")</f>
        <v>DMT4008LFDF Datasheet</v>
      </c>
      <c r="C1438" t="s">
        <v>24</v>
      </c>
      <c r="D1438" t="s">
        <v>25</v>
      </c>
      <c r="E1438" t="s">
        <v>26</v>
      </c>
      <c r="F1438" t="s">
        <v>27</v>
      </c>
      <c r="G1438" t="s">
        <v>28</v>
      </c>
      <c r="H1438">
        <v>40</v>
      </c>
      <c r="I1438">
        <v>20</v>
      </c>
      <c r="J1438">
        <v>11.8</v>
      </c>
      <c r="L1438">
        <v>2</v>
      </c>
      <c r="N1438">
        <v>9.5</v>
      </c>
      <c r="O1438">
        <v>15.5</v>
      </c>
      <c r="S1438">
        <v>3</v>
      </c>
      <c r="T1438">
        <v>8.3</v>
      </c>
      <c r="U1438">
        <v>17.1</v>
      </c>
      <c r="V1438">
        <v>1179</v>
      </c>
      <c r="W1438">
        <v>20</v>
      </c>
      <c r="X1438" t="s">
        <v>568</v>
      </c>
    </row>
    <row r="1439" spans="1:24">
      <c r="A1439" t="str">
        <f>Hyperlink("https://www.diodes.com/part/view/DMT4008LFV","DMT4008LFV")</f>
        <v>DMT4008LFV</v>
      </c>
      <c r="B1439" t="str">
        <f>Hyperlink("https://www.diodes.com/assets/Datasheets/DMT4008LFV.pdf","DMT4008LFV Datasheet")</f>
        <v>DMT4008LFV Datasheet</v>
      </c>
      <c r="C1439" t="s">
        <v>700</v>
      </c>
      <c r="D1439" t="s">
        <v>28</v>
      </c>
      <c r="E1439" t="s">
        <v>26</v>
      </c>
      <c r="F1439" t="s">
        <v>27</v>
      </c>
      <c r="G1439" t="s">
        <v>28</v>
      </c>
      <c r="H1439">
        <v>40</v>
      </c>
      <c r="I1439">
        <v>20</v>
      </c>
      <c r="J1439">
        <v>12.1</v>
      </c>
      <c r="K1439">
        <v>54.8</v>
      </c>
      <c r="L1439">
        <v>1.9</v>
      </c>
      <c r="M1439">
        <v>35.7</v>
      </c>
      <c r="N1439">
        <v>7.9</v>
      </c>
      <c r="O1439">
        <v>12</v>
      </c>
      <c r="S1439">
        <v>3</v>
      </c>
      <c r="T1439">
        <v>8.3</v>
      </c>
      <c r="U1439">
        <v>17.1</v>
      </c>
      <c r="V1439">
        <v>1179</v>
      </c>
      <c r="W1439">
        <v>20</v>
      </c>
      <c r="X1439" t="s">
        <v>570</v>
      </c>
    </row>
    <row r="1440" spans="1:24">
      <c r="A1440" t="str">
        <f>Hyperlink("https://www.diodes.com/part/view/DMT4008LSS","DMT4008LSS")</f>
        <v>DMT4008LSS</v>
      </c>
      <c r="B1440" t="str">
        <f>Hyperlink("https://www.diodes.com/assets/Datasheets/DMT4008LSS.pdf","DMT4008LSS Datasheet")</f>
        <v>DMT4008LSS Datasheet</v>
      </c>
      <c r="C1440" t="s">
        <v>700</v>
      </c>
      <c r="D1440" t="s">
        <v>28</v>
      </c>
      <c r="E1440" t="s">
        <v>26</v>
      </c>
      <c r="F1440" t="s">
        <v>27</v>
      </c>
      <c r="G1440" t="s">
        <v>28</v>
      </c>
      <c r="H1440">
        <v>40</v>
      </c>
      <c r="I1440">
        <v>20</v>
      </c>
      <c r="J1440">
        <v>12.8</v>
      </c>
      <c r="L1440">
        <v>2.09</v>
      </c>
      <c r="N1440">
        <v>8.5</v>
      </c>
      <c r="O1440">
        <v>12.5</v>
      </c>
      <c r="S1440">
        <v>3</v>
      </c>
      <c r="T1440">
        <v>9.4</v>
      </c>
      <c r="U1440">
        <v>18.6</v>
      </c>
      <c r="V1440">
        <v>1143</v>
      </c>
      <c r="W1440">
        <v>20</v>
      </c>
      <c r="X1440" t="s">
        <v>155</v>
      </c>
    </row>
    <row r="1441" spans="1:24">
      <c r="A1441" t="str">
        <f>Hyperlink("https://www.diodes.com/part/view/DMT4011LFG","DMT4011LFG")</f>
        <v>DMT4011LFG</v>
      </c>
      <c r="B1441" t="str">
        <f>Hyperlink("https://www.diodes.com/assets/Datasheets/DMT4011LFG.pdf","DMT4011LFG Datasheet")</f>
        <v>DMT4011LFG Datasheet</v>
      </c>
      <c r="C1441" t="s">
        <v>700</v>
      </c>
      <c r="D1441" t="s">
        <v>28</v>
      </c>
      <c r="E1441" t="s">
        <v>26</v>
      </c>
      <c r="F1441" t="s">
        <v>27</v>
      </c>
      <c r="G1441" t="s">
        <v>28</v>
      </c>
      <c r="H1441">
        <v>40</v>
      </c>
      <c r="I1441" t="s">
        <v>926</v>
      </c>
      <c r="J1441">
        <v>10.8</v>
      </c>
      <c r="K1441">
        <v>30</v>
      </c>
      <c r="L1441">
        <v>2</v>
      </c>
      <c r="M1441">
        <v>15.6</v>
      </c>
      <c r="N1441">
        <v>11.5</v>
      </c>
      <c r="O1441">
        <v>17.8</v>
      </c>
      <c r="S1441">
        <v>3</v>
      </c>
      <c r="T1441">
        <v>7</v>
      </c>
      <c r="U1441">
        <v>15.1</v>
      </c>
      <c r="V1441">
        <v>767</v>
      </c>
      <c r="W1441">
        <v>20</v>
      </c>
      <c r="X1441" t="s">
        <v>529</v>
      </c>
    </row>
    <row r="1442" spans="1:24">
      <c r="A1442" t="str">
        <f>Hyperlink("https://www.diodes.com/part/view/DMT4011LSS","DMT4011LSS")</f>
        <v>DMT4011LSS</v>
      </c>
      <c r="B1442" t="str">
        <f>Hyperlink("https://www.diodes.com/assets/Datasheets/DMT4011LSS.pdf","DMT4011LSS Datasheet")</f>
        <v>DMT4011LSS Datasheet</v>
      </c>
      <c r="C1442" t="s">
        <v>700</v>
      </c>
      <c r="D1442" t="s">
        <v>28</v>
      </c>
      <c r="E1442" t="s">
        <v>26</v>
      </c>
      <c r="F1442" t="s">
        <v>27</v>
      </c>
      <c r="G1442" t="s">
        <v>28</v>
      </c>
      <c r="H1442">
        <v>40</v>
      </c>
      <c r="I1442">
        <v>20</v>
      </c>
      <c r="J1442">
        <v>10.8</v>
      </c>
      <c r="L1442">
        <v>2.02</v>
      </c>
      <c r="N1442">
        <v>11.5</v>
      </c>
      <c r="O1442">
        <v>17.6</v>
      </c>
      <c r="S1442">
        <v>2.4</v>
      </c>
      <c r="T1442">
        <v>7.2</v>
      </c>
      <c r="U1442">
        <v>14.3</v>
      </c>
      <c r="V1442">
        <v>829</v>
      </c>
      <c r="W1442">
        <v>20</v>
      </c>
      <c r="X1442" t="s">
        <v>155</v>
      </c>
    </row>
    <row r="1443" spans="1:24">
      <c r="A1443" t="str">
        <f>Hyperlink("https://www.diodes.com/part/view/DMT4014LDV","DMT4014LDV")</f>
        <v>DMT4014LDV</v>
      </c>
      <c r="B1443" t="str">
        <f>Hyperlink("https://www.diodes.com/assets/Datasheets/DMT4014LDV.pdf","DMT4014LDV Datasheet")</f>
        <v>DMT4014LDV Datasheet</v>
      </c>
      <c r="C1443" t="s">
        <v>700</v>
      </c>
      <c r="D1443" t="s">
        <v>28</v>
      </c>
      <c r="E1443" t="s">
        <v>26</v>
      </c>
      <c r="F1443" t="s">
        <v>35</v>
      </c>
      <c r="G1443" t="s">
        <v>28</v>
      </c>
      <c r="H1443">
        <v>40</v>
      </c>
      <c r="I1443">
        <v>20</v>
      </c>
      <c r="J1443">
        <v>8.5</v>
      </c>
      <c r="K1443">
        <v>26.5</v>
      </c>
      <c r="L1443">
        <v>2.1</v>
      </c>
      <c r="M1443">
        <v>26.5</v>
      </c>
      <c r="N1443">
        <v>19</v>
      </c>
      <c r="O1443">
        <v>29</v>
      </c>
      <c r="S1443">
        <v>3</v>
      </c>
      <c r="T1443">
        <v>5.7</v>
      </c>
      <c r="U1443">
        <v>11.2</v>
      </c>
      <c r="V1443">
        <v>750</v>
      </c>
      <c r="W1443">
        <v>20</v>
      </c>
      <c r="X1443" t="s">
        <v>529</v>
      </c>
    </row>
    <row r="1444" spans="1:24">
      <c r="A1444" t="str">
        <f>Hyperlink("https://www.diodes.com/part/view/DMT4015LDV","DMT4015LDV")</f>
        <v>DMT4015LDV</v>
      </c>
      <c r="B1444" t="str">
        <f>Hyperlink("https://www.diodes.com/assets/Datasheets/DMT4015LDV.pdf","DMT4015LDV Datasheet")</f>
        <v>DMT4015LDV Datasheet</v>
      </c>
      <c r="C1444" t="s">
        <v>700</v>
      </c>
      <c r="D1444" t="s">
        <v>28</v>
      </c>
      <c r="E1444" t="s">
        <v>26</v>
      </c>
      <c r="F1444" t="s">
        <v>35</v>
      </c>
      <c r="G1444" t="s">
        <v>25</v>
      </c>
      <c r="H1444">
        <v>40</v>
      </c>
      <c r="I1444">
        <v>16</v>
      </c>
      <c r="J1444">
        <v>7.8</v>
      </c>
      <c r="K1444">
        <v>21.2</v>
      </c>
      <c r="L1444">
        <v>2</v>
      </c>
      <c r="N1444">
        <v>20</v>
      </c>
      <c r="O1444">
        <v>25</v>
      </c>
      <c r="S1444">
        <v>2.5</v>
      </c>
      <c r="T1444">
        <v>8.6</v>
      </c>
      <c r="U1444">
        <v>15.7</v>
      </c>
      <c r="V1444">
        <v>808</v>
      </c>
      <c r="W1444">
        <v>30</v>
      </c>
      <c r="X1444" t="s">
        <v>529</v>
      </c>
    </row>
    <row r="1445" spans="1:24">
      <c r="A1445" t="str">
        <f>Hyperlink("https://www.diodes.com/part/view/DMT4031LFDF","DMT4031LFDF")</f>
        <v>DMT4031LFDF</v>
      </c>
      <c r="B1445" t="str">
        <f>Hyperlink("https://www.diodes.com/assets/Datasheets/DMT4031LFDF.pdf","DMT4031LFDF Datasheet")</f>
        <v>DMT4031LFDF Datasheet</v>
      </c>
      <c r="C1445" t="s">
        <v>700</v>
      </c>
      <c r="D1445" t="s">
        <v>28</v>
      </c>
      <c r="E1445" t="s">
        <v>26</v>
      </c>
      <c r="F1445" t="s">
        <v>27</v>
      </c>
      <c r="G1445" t="s">
        <v>25</v>
      </c>
      <c r="H1445">
        <v>40</v>
      </c>
      <c r="I1445">
        <v>16</v>
      </c>
      <c r="J1445">
        <v>6.8</v>
      </c>
      <c r="L1445">
        <v>2</v>
      </c>
      <c r="N1445">
        <v>26</v>
      </c>
      <c r="O1445">
        <v>47</v>
      </c>
      <c r="S1445">
        <v>2.5</v>
      </c>
      <c r="T1445">
        <v>3.9</v>
      </c>
      <c r="U1445">
        <v>7</v>
      </c>
      <c r="V1445">
        <v>362</v>
      </c>
      <c r="W1445">
        <v>20</v>
      </c>
      <c r="X1445" t="s">
        <v>568</v>
      </c>
    </row>
    <row r="1446" spans="1:24">
      <c r="A1446" t="str">
        <f>Hyperlink("https://www.diodes.com/part/view/DMT4031LSD","DMT4031LSD")</f>
        <v>DMT4031LSD</v>
      </c>
      <c r="B1446" t="str">
        <f>Hyperlink("https://www.diodes.com/assets/Datasheets/DMT4031LSD.pdf","DMT4031LSD Datasheet")</f>
        <v>DMT4031LSD Datasheet</v>
      </c>
      <c r="C1446" t="s">
        <v>700</v>
      </c>
      <c r="D1446" t="s">
        <v>28</v>
      </c>
      <c r="E1446" t="s">
        <v>26</v>
      </c>
      <c r="F1446" t="s">
        <v>27</v>
      </c>
      <c r="G1446" t="s">
        <v>25</v>
      </c>
      <c r="H1446">
        <v>40</v>
      </c>
      <c r="I1446">
        <v>12</v>
      </c>
      <c r="J1446">
        <v>6.3</v>
      </c>
      <c r="L1446">
        <v>1.5</v>
      </c>
      <c r="N1446">
        <v>23</v>
      </c>
      <c r="O1446">
        <v>41</v>
      </c>
      <c r="S1446">
        <v>2.5</v>
      </c>
      <c r="T1446">
        <v>3.9</v>
      </c>
      <c r="U1446">
        <v>7</v>
      </c>
      <c r="V1446">
        <v>362</v>
      </c>
      <c r="W1446">
        <v>20</v>
      </c>
      <c r="X1446" t="s">
        <v>155</v>
      </c>
    </row>
    <row r="1447" spans="1:24">
      <c r="A1447" t="str">
        <f>Hyperlink("https://www.diodes.com/part/view/DMT43M8LFV","DMT43M8LFV")</f>
        <v>DMT43M8LFV</v>
      </c>
      <c r="B1447" t="str">
        <f>Hyperlink("https://www.diodes.com/assets/Datasheets/DMT43M8LFV.pdf","DMT43M8LFV Datasheet")</f>
        <v>DMT43M8LFV Datasheet</v>
      </c>
      <c r="C1447" t="s">
        <v>24</v>
      </c>
      <c r="D1447" t="s">
        <v>25</v>
      </c>
      <c r="E1447" t="s">
        <v>26</v>
      </c>
      <c r="F1447" t="s">
        <v>27</v>
      </c>
      <c r="G1447" t="s">
        <v>28</v>
      </c>
      <c r="H1447">
        <v>40</v>
      </c>
      <c r="I1447">
        <v>20</v>
      </c>
      <c r="K1447">
        <v>87</v>
      </c>
      <c r="L1447">
        <v>2.25</v>
      </c>
      <c r="M1447">
        <v>45.4</v>
      </c>
      <c r="N1447">
        <v>4</v>
      </c>
      <c r="O1447">
        <v>5.5</v>
      </c>
      <c r="S1447">
        <v>2.5</v>
      </c>
      <c r="T1447">
        <v>21.1</v>
      </c>
      <c r="U1447">
        <v>44.4</v>
      </c>
      <c r="V1447">
        <v>3213</v>
      </c>
      <c r="W1447">
        <v>20</v>
      </c>
      <c r="X1447" t="s">
        <v>570</v>
      </c>
    </row>
    <row r="1448" spans="1:24">
      <c r="A1448" t="str">
        <f>Hyperlink("https://www.diodes.com/part/view/DMT47M2LDV","DMT47M2LDV")</f>
        <v>DMT47M2LDV</v>
      </c>
      <c r="B1448" t="str">
        <f>Hyperlink("https://www.diodes.com/assets/Datasheets/DMT47M2LDV.pdf","DMT47M2LDV Datasheet")</f>
        <v>DMT47M2LDV Datasheet</v>
      </c>
      <c r="C1448" t="s">
        <v>963</v>
      </c>
      <c r="D1448" t="s">
        <v>25</v>
      </c>
      <c r="E1448" t="s">
        <v>26</v>
      </c>
      <c r="F1448" t="s">
        <v>35</v>
      </c>
      <c r="G1448" t="s">
        <v>28</v>
      </c>
      <c r="H1448">
        <v>40</v>
      </c>
      <c r="I1448">
        <v>20</v>
      </c>
      <c r="J1448">
        <v>11.9</v>
      </c>
      <c r="K1448">
        <v>30.2</v>
      </c>
      <c r="L1448">
        <v>2.34</v>
      </c>
      <c r="M1448">
        <v>14.8</v>
      </c>
      <c r="N1448">
        <v>10.8</v>
      </c>
      <c r="O1448">
        <v>15</v>
      </c>
      <c r="S1448">
        <v>2.3</v>
      </c>
      <c r="T1448">
        <v>6.72</v>
      </c>
      <c r="U1448">
        <v>14</v>
      </c>
      <c r="V1448">
        <v>891</v>
      </c>
      <c r="W1448">
        <v>20</v>
      </c>
      <c r="X1448" t="s">
        <v>529</v>
      </c>
    </row>
    <row r="1449" spans="1:24">
      <c r="A1449" t="str">
        <f>Hyperlink("https://www.diodes.com/part/view/DMT47M2LDVQ","DMT47M2LDVQ")</f>
        <v>DMT47M2LDVQ</v>
      </c>
      <c r="B1449" t="str">
        <f>Hyperlink("https://www.diodes.com/assets/Datasheets/DMT47M2LDVQ.pdf","DMT47M2LDVQ Datasheet")</f>
        <v>DMT47M2LDVQ Datasheet</v>
      </c>
      <c r="C1449" t="s">
        <v>963</v>
      </c>
      <c r="D1449" t="s">
        <v>25</v>
      </c>
      <c r="E1449" t="s">
        <v>33</v>
      </c>
      <c r="F1449" t="s">
        <v>35</v>
      </c>
      <c r="G1449" t="s">
        <v>28</v>
      </c>
      <c r="H1449">
        <v>40</v>
      </c>
      <c r="I1449">
        <v>20</v>
      </c>
      <c r="J1449">
        <v>11.9</v>
      </c>
      <c r="K1449">
        <v>30.2</v>
      </c>
      <c r="L1449">
        <v>2.34</v>
      </c>
      <c r="M1449">
        <v>14.8</v>
      </c>
      <c r="N1449">
        <v>10.8</v>
      </c>
      <c r="O1449">
        <v>15</v>
      </c>
      <c r="S1449">
        <v>2.3</v>
      </c>
      <c r="T1449">
        <v>6.72</v>
      </c>
      <c r="U1449">
        <v>14</v>
      </c>
      <c r="V1449">
        <v>891</v>
      </c>
      <c r="W1449">
        <v>20</v>
      </c>
      <c r="X1449" t="s">
        <v>292</v>
      </c>
    </row>
    <row r="1450" spans="1:24">
      <c r="A1450" t="str">
        <f>Hyperlink("https://www.diodes.com/part/view/DMT47M2SFVW","DMT47M2SFVW")</f>
        <v>DMT47M2SFVW</v>
      </c>
      <c r="B1450" t="str">
        <f>Hyperlink("https://www.diodes.com/assets/Datasheets/DMT47M2SFVW.pdf","DMT47M2SFVW Datasheet")</f>
        <v>DMT47M2SFVW Datasheet</v>
      </c>
      <c r="C1450" t="s">
        <v>964</v>
      </c>
      <c r="D1450" t="s">
        <v>25</v>
      </c>
      <c r="E1450" t="s">
        <v>26</v>
      </c>
      <c r="F1450" t="s">
        <v>27</v>
      </c>
      <c r="G1450" t="s">
        <v>28</v>
      </c>
      <c r="H1450">
        <v>40</v>
      </c>
      <c r="I1450">
        <v>20</v>
      </c>
      <c r="J1450">
        <v>15.4</v>
      </c>
      <c r="K1450">
        <v>49.1</v>
      </c>
      <c r="L1450">
        <v>2.67</v>
      </c>
      <c r="M1450">
        <v>27.1</v>
      </c>
      <c r="N1450">
        <v>7.5</v>
      </c>
      <c r="S1450">
        <v>4</v>
      </c>
      <c r="U1450">
        <v>12.1</v>
      </c>
      <c r="V1450">
        <v>897</v>
      </c>
      <c r="W1450">
        <v>20</v>
      </c>
      <c r="X1450" t="s">
        <v>529</v>
      </c>
    </row>
    <row r="1451" spans="1:24">
      <c r="A1451" t="str">
        <f>Hyperlink("https://www.diodes.com/part/view/DMT47M2SFVWQ","DMT47M2SFVWQ")</f>
        <v>DMT47M2SFVWQ</v>
      </c>
      <c r="B1451" t="str">
        <f>Hyperlink("https://www.diodes.com/assets/Datasheets/DMT47M2SFVWQ.pdf","DMT47M2SFVWQ Datasheet")</f>
        <v>DMT47M2SFVWQ Datasheet</v>
      </c>
      <c r="C1451" t="s">
        <v>964</v>
      </c>
      <c r="D1451" t="s">
        <v>25</v>
      </c>
      <c r="E1451" t="s">
        <v>33</v>
      </c>
      <c r="F1451" t="s">
        <v>27</v>
      </c>
      <c r="G1451" t="s">
        <v>28</v>
      </c>
      <c r="H1451">
        <v>40</v>
      </c>
      <c r="I1451">
        <v>20</v>
      </c>
      <c r="J1451">
        <v>15.4</v>
      </c>
      <c r="K1451">
        <v>49.1</v>
      </c>
      <c r="L1451">
        <v>2.67</v>
      </c>
      <c r="M1451">
        <v>27.1</v>
      </c>
      <c r="N1451">
        <v>7.5</v>
      </c>
      <c r="S1451">
        <v>4</v>
      </c>
      <c r="U1451">
        <v>12.1</v>
      </c>
      <c r="V1451">
        <v>897</v>
      </c>
      <c r="W1451">
        <v>20</v>
      </c>
      <c r="X1451" t="s">
        <v>655</v>
      </c>
    </row>
    <row r="1452" spans="1:24">
      <c r="A1452" t="str">
        <f>Hyperlink("https://www.diodes.com/part/view/DMT5012LFVW","DMT5012LFVW")</f>
        <v>DMT5012LFVW</v>
      </c>
      <c r="B1452" t="str">
        <f>Hyperlink("https://www.diodes.com/assets/Datasheets/DMT5012LFVW.pdf","DMT5012LFVW Datasheet")</f>
        <v>DMT5012LFVW Datasheet</v>
      </c>
      <c r="C1452" t="s">
        <v>67</v>
      </c>
      <c r="D1452" t="s">
        <v>28</v>
      </c>
      <c r="E1452" t="s">
        <v>26</v>
      </c>
      <c r="F1452" t="s">
        <v>27</v>
      </c>
      <c r="G1452" t="s">
        <v>28</v>
      </c>
      <c r="H1452">
        <v>50</v>
      </c>
      <c r="I1452">
        <v>20</v>
      </c>
      <c r="J1452">
        <v>11.7</v>
      </c>
      <c r="K1452">
        <v>51.4</v>
      </c>
      <c r="L1452">
        <v>2.7</v>
      </c>
      <c r="M1452">
        <v>51.4</v>
      </c>
      <c r="N1452">
        <v>13</v>
      </c>
      <c r="O1452">
        <v>20</v>
      </c>
      <c r="S1452">
        <v>2.3</v>
      </c>
      <c r="T1452">
        <v>10.5</v>
      </c>
      <c r="U1452">
        <v>17.6</v>
      </c>
      <c r="V1452">
        <v>738</v>
      </c>
      <c r="W1452">
        <v>30</v>
      </c>
      <c r="X1452" t="s">
        <v>529</v>
      </c>
    </row>
    <row r="1453" spans="1:24">
      <c r="A1453" t="str">
        <f>Hyperlink("https://www.diodes.com/part/view/DMT6002LPS","DMT6002LPS")</f>
        <v>DMT6002LPS</v>
      </c>
      <c r="B1453" t="str">
        <f>Hyperlink("https://www.diodes.com/assets/Datasheets/DMT6002LPS.pdf","DMT6002LPS Datasheet")</f>
        <v>DMT6002LPS Datasheet</v>
      </c>
      <c r="C1453" t="s">
        <v>721</v>
      </c>
      <c r="D1453" t="s">
        <v>28</v>
      </c>
      <c r="E1453" t="s">
        <v>26</v>
      </c>
      <c r="F1453" t="s">
        <v>27</v>
      </c>
      <c r="G1453" t="s">
        <v>28</v>
      </c>
      <c r="H1453">
        <v>60</v>
      </c>
      <c r="I1453">
        <v>20</v>
      </c>
      <c r="K1453">
        <v>100</v>
      </c>
      <c r="L1453">
        <v>2.3</v>
      </c>
      <c r="M1453">
        <v>167</v>
      </c>
      <c r="N1453">
        <v>2</v>
      </c>
      <c r="O1453" t="s">
        <v>965</v>
      </c>
      <c r="S1453">
        <v>3</v>
      </c>
      <c r="T1453">
        <v>63.6</v>
      </c>
      <c r="U1453">
        <v>130.8</v>
      </c>
      <c r="V1453">
        <v>6555</v>
      </c>
      <c r="W1453">
        <v>30</v>
      </c>
      <c r="X1453" t="s">
        <v>791</v>
      </c>
    </row>
    <row r="1454" spans="1:24">
      <c r="A1454" t="str">
        <f>Hyperlink("https://www.diodes.com/part/view/DMT6004LPS","DMT6004LPS")</f>
        <v>DMT6004LPS</v>
      </c>
      <c r="B1454" t="str">
        <f>Hyperlink("https://www.diodes.com/assets/Datasheets/DMT6004LPS.pdf","DMT6004LPS Datasheet")</f>
        <v>DMT6004LPS Datasheet</v>
      </c>
      <c r="C1454" t="s">
        <v>721</v>
      </c>
      <c r="D1454" t="s">
        <v>25</v>
      </c>
      <c r="E1454" t="s">
        <v>26</v>
      </c>
      <c r="F1454" t="s">
        <v>27</v>
      </c>
      <c r="G1454" t="s">
        <v>28</v>
      </c>
      <c r="H1454">
        <v>60</v>
      </c>
      <c r="I1454">
        <v>20</v>
      </c>
      <c r="J1454">
        <v>22</v>
      </c>
      <c r="K1454">
        <v>100</v>
      </c>
      <c r="L1454">
        <v>2.5</v>
      </c>
      <c r="M1454">
        <v>139</v>
      </c>
      <c r="N1454">
        <v>3.1</v>
      </c>
      <c r="O1454">
        <v>4.5</v>
      </c>
      <c r="S1454">
        <v>3</v>
      </c>
      <c r="T1454">
        <v>38.5</v>
      </c>
      <c r="U1454">
        <v>78.3</v>
      </c>
      <c r="V1454">
        <v>5399</v>
      </c>
      <c r="W1454">
        <v>30</v>
      </c>
      <c r="X1454" t="s">
        <v>617</v>
      </c>
    </row>
    <row r="1455" spans="1:24">
      <c r="A1455" t="str">
        <f>Hyperlink("https://www.diodes.com/part/view/DMT6004SCT","DMT6004SCT")</f>
        <v>DMT6004SCT</v>
      </c>
      <c r="B1455" t="str">
        <f>Hyperlink("https://www.diodes.com/assets/Datasheets/DMT6004SCT.pdf","DMT6004SCT Datasheet")</f>
        <v>DMT6004SCT Datasheet</v>
      </c>
      <c r="C1455" t="s">
        <v>24</v>
      </c>
      <c r="D1455" t="s">
        <v>25</v>
      </c>
      <c r="E1455" t="s">
        <v>26</v>
      </c>
      <c r="F1455" t="s">
        <v>27</v>
      </c>
      <c r="G1455" t="s">
        <v>28</v>
      </c>
      <c r="H1455">
        <v>60</v>
      </c>
      <c r="I1455">
        <v>20</v>
      </c>
      <c r="K1455">
        <v>100</v>
      </c>
      <c r="L1455">
        <v>2.3</v>
      </c>
      <c r="M1455">
        <v>113</v>
      </c>
      <c r="N1455">
        <v>3.65</v>
      </c>
      <c r="S1455">
        <v>4</v>
      </c>
      <c r="U1455">
        <v>95.4</v>
      </c>
      <c r="V1455">
        <v>4556</v>
      </c>
      <c r="W1455">
        <v>30</v>
      </c>
      <c r="X1455" t="s">
        <v>753</v>
      </c>
    </row>
    <row r="1456" spans="1:24">
      <c r="A1456" t="str">
        <f>Hyperlink("https://www.diodes.com/part/view/DMT6004SPS","DMT6004SPS")</f>
        <v>DMT6004SPS</v>
      </c>
      <c r="B1456" t="str">
        <f>Hyperlink("https://www.diodes.com/assets/Datasheets/DMT6004SPS.pdf","DMT6004SPS Datasheet")</f>
        <v>DMT6004SPS Datasheet</v>
      </c>
      <c r="C1456" t="s">
        <v>24</v>
      </c>
      <c r="D1456" t="s">
        <v>25</v>
      </c>
      <c r="E1456" t="s">
        <v>26</v>
      </c>
      <c r="F1456" t="s">
        <v>27</v>
      </c>
      <c r="G1456" t="s">
        <v>28</v>
      </c>
      <c r="H1456">
        <v>60</v>
      </c>
      <c r="I1456">
        <v>20</v>
      </c>
      <c r="J1456">
        <v>23</v>
      </c>
      <c r="K1456">
        <v>100</v>
      </c>
      <c r="L1456">
        <v>2.5</v>
      </c>
      <c r="M1456">
        <v>139</v>
      </c>
      <c r="N1456">
        <v>3.1</v>
      </c>
      <c r="S1456">
        <v>4</v>
      </c>
      <c r="U1456">
        <v>95.4</v>
      </c>
      <c r="V1456">
        <v>5011</v>
      </c>
      <c r="W1456">
        <v>30</v>
      </c>
      <c r="X1456" t="s">
        <v>617</v>
      </c>
    </row>
    <row r="1457" spans="1:24">
      <c r="A1457" t="str">
        <f>Hyperlink("https://www.diodes.com/part/view/DMT6005LCT","DMT6005LCT")</f>
        <v>DMT6005LCT</v>
      </c>
      <c r="B1457" t="str">
        <f>Hyperlink("https://www.diodes.com/assets/Datasheets/DMT6005LCT.pdf","DMT6005LCT Datasheet")</f>
        <v>DMT6005LCT Datasheet</v>
      </c>
      <c r="C1457" t="s">
        <v>721</v>
      </c>
      <c r="D1457" t="s">
        <v>25</v>
      </c>
      <c r="E1457" t="s">
        <v>26</v>
      </c>
      <c r="F1457" t="s">
        <v>27</v>
      </c>
      <c r="G1457" t="s">
        <v>28</v>
      </c>
      <c r="H1457">
        <v>60</v>
      </c>
      <c r="I1457">
        <v>20</v>
      </c>
      <c r="K1457">
        <v>100</v>
      </c>
      <c r="L1457">
        <v>2.3</v>
      </c>
      <c r="M1457">
        <v>104</v>
      </c>
      <c r="N1457">
        <v>6</v>
      </c>
      <c r="O1457">
        <v>10</v>
      </c>
      <c r="S1457">
        <v>3</v>
      </c>
      <c r="T1457">
        <v>23.1</v>
      </c>
      <c r="U1457">
        <v>47.1</v>
      </c>
      <c r="V1457">
        <v>2962</v>
      </c>
      <c r="W1457">
        <v>30</v>
      </c>
      <c r="X1457" t="s">
        <v>962</v>
      </c>
    </row>
    <row r="1458" spans="1:24">
      <c r="A1458" t="str">
        <f>Hyperlink("https://www.diodes.com/part/view/DMT6005LFG","DMT6005LFG")</f>
        <v>DMT6005LFG</v>
      </c>
      <c r="B1458" t="str">
        <f>Hyperlink("https://www.diodes.com/assets/Datasheets/DMT6005LFG.pdf","DMT6005LFG Datasheet")</f>
        <v>DMT6005LFG Datasheet</v>
      </c>
      <c r="C1458" t="s">
        <v>721</v>
      </c>
      <c r="D1458" t="s">
        <v>25</v>
      </c>
      <c r="E1458" t="s">
        <v>26</v>
      </c>
      <c r="F1458" t="s">
        <v>27</v>
      </c>
      <c r="G1458" t="s">
        <v>28</v>
      </c>
      <c r="H1458">
        <v>60</v>
      </c>
      <c r="I1458">
        <v>20</v>
      </c>
      <c r="J1458">
        <v>18</v>
      </c>
      <c r="K1458">
        <v>100</v>
      </c>
      <c r="L1458">
        <v>1.98</v>
      </c>
      <c r="M1458">
        <v>62.5</v>
      </c>
      <c r="N1458">
        <v>4.1</v>
      </c>
      <c r="O1458">
        <v>7</v>
      </c>
      <c r="S1458">
        <v>2.5</v>
      </c>
      <c r="T1458">
        <v>23.6</v>
      </c>
      <c r="U1458">
        <v>48.7</v>
      </c>
      <c r="V1458">
        <v>3150</v>
      </c>
      <c r="W1458">
        <v>30</v>
      </c>
      <c r="X1458" t="s">
        <v>529</v>
      </c>
    </row>
    <row r="1459" spans="1:24">
      <c r="A1459" t="str">
        <f>Hyperlink("https://www.diodes.com/part/view/DMT6005LPS","DMT6005LPS")</f>
        <v>DMT6005LPS</v>
      </c>
      <c r="B1459" t="str">
        <f>Hyperlink("https://www.diodes.com/assets/Datasheets/DMT6005LPS.pdf","DMT6005LPS Datasheet")</f>
        <v>DMT6005LPS Datasheet</v>
      </c>
      <c r="C1459" t="s">
        <v>721</v>
      </c>
      <c r="D1459" t="s">
        <v>25</v>
      </c>
      <c r="E1459" t="s">
        <v>26</v>
      </c>
      <c r="F1459" t="s">
        <v>27</v>
      </c>
      <c r="G1459" t="s">
        <v>28</v>
      </c>
      <c r="H1459">
        <v>60</v>
      </c>
      <c r="I1459">
        <v>20</v>
      </c>
      <c r="J1459">
        <v>17.9</v>
      </c>
      <c r="K1459">
        <v>100</v>
      </c>
      <c r="L1459">
        <v>2.6</v>
      </c>
      <c r="M1459">
        <v>125</v>
      </c>
      <c r="N1459">
        <v>4.5</v>
      </c>
      <c r="O1459">
        <v>6.5</v>
      </c>
      <c r="S1459">
        <v>3</v>
      </c>
      <c r="T1459">
        <v>23.1</v>
      </c>
      <c r="U1459">
        <v>47.1</v>
      </c>
      <c r="V1459">
        <v>2962</v>
      </c>
      <c r="W1459">
        <v>30</v>
      </c>
      <c r="X1459" t="s">
        <v>617</v>
      </c>
    </row>
    <row r="1460" spans="1:24">
      <c r="A1460" t="str">
        <f>Hyperlink("https://www.diodes.com/part/view/DMT6005LSS","DMT6005LSS")</f>
        <v>DMT6005LSS</v>
      </c>
      <c r="B1460" t="str">
        <f>Hyperlink("https://www.diodes.com/assets/Datasheets/DMT6005LSS.pdf","DMT6005LSS Datasheet")</f>
        <v>DMT6005LSS Datasheet</v>
      </c>
      <c r="C1460" t="s">
        <v>721</v>
      </c>
      <c r="D1460" t="s">
        <v>25</v>
      </c>
      <c r="E1460" t="s">
        <v>26</v>
      </c>
      <c r="F1460" t="s">
        <v>27</v>
      </c>
      <c r="G1460" t="s">
        <v>28</v>
      </c>
      <c r="H1460">
        <v>60</v>
      </c>
      <c r="I1460">
        <v>20</v>
      </c>
      <c r="J1460">
        <v>13.5</v>
      </c>
      <c r="L1460">
        <v>1.7</v>
      </c>
      <c r="N1460">
        <v>6</v>
      </c>
      <c r="O1460">
        <v>8.9</v>
      </c>
      <c r="S1460">
        <v>3</v>
      </c>
      <c r="T1460">
        <v>23.1</v>
      </c>
      <c r="U1460">
        <v>47.1</v>
      </c>
      <c r="V1460">
        <v>2962</v>
      </c>
      <c r="W1460">
        <v>30</v>
      </c>
      <c r="X1460" t="s">
        <v>155</v>
      </c>
    </row>
    <row r="1461" spans="1:24">
      <c r="A1461" t="str">
        <f>Hyperlink("https://www.diodes.com/part/view/DMT6006LK3","DMT6006LK3")</f>
        <v>DMT6006LK3</v>
      </c>
      <c r="B1461" t="str">
        <f>Hyperlink("https://www.diodes.com/assets/Datasheets/DMT6006LK3.pdf","DMT6006LK3 Datasheet")</f>
        <v>DMT6006LK3 Datasheet</v>
      </c>
      <c r="C1461" t="s">
        <v>721</v>
      </c>
      <c r="D1461" t="s">
        <v>28</v>
      </c>
      <c r="E1461" t="s">
        <v>26</v>
      </c>
      <c r="F1461" t="s">
        <v>27</v>
      </c>
      <c r="G1461" t="s">
        <v>28</v>
      </c>
      <c r="H1461">
        <v>60</v>
      </c>
      <c r="I1461">
        <v>20</v>
      </c>
      <c r="K1461">
        <v>88</v>
      </c>
      <c r="L1461">
        <v>3.1</v>
      </c>
      <c r="M1461">
        <v>88</v>
      </c>
      <c r="N1461">
        <v>6.5</v>
      </c>
      <c r="O1461">
        <v>10</v>
      </c>
      <c r="S1461">
        <v>2.5</v>
      </c>
      <c r="T1461">
        <v>18.1</v>
      </c>
      <c r="U1461">
        <v>34.9</v>
      </c>
      <c r="V1461">
        <v>2162</v>
      </c>
      <c r="W1461">
        <v>30</v>
      </c>
      <c r="X1461" t="s">
        <v>507</v>
      </c>
    </row>
    <row r="1462" spans="1:24">
      <c r="A1462" t="str">
        <f>Hyperlink("https://www.diodes.com/part/view/DMT6006LSS","DMT6006LSS")</f>
        <v>DMT6006LSS</v>
      </c>
      <c r="B1462" t="str">
        <f>Hyperlink("https://www.diodes.com/assets/Datasheets/DMT6006LSS.pdf","DMT6006LSS Datasheet")</f>
        <v>DMT6006LSS Datasheet</v>
      </c>
      <c r="C1462" t="s">
        <v>721</v>
      </c>
      <c r="D1462" t="s">
        <v>28</v>
      </c>
      <c r="E1462" t="s">
        <v>26</v>
      </c>
      <c r="F1462" t="s">
        <v>27</v>
      </c>
      <c r="G1462" t="s">
        <v>28</v>
      </c>
      <c r="H1462">
        <v>60</v>
      </c>
      <c r="I1462">
        <v>20</v>
      </c>
      <c r="J1462">
        <v>14.6</v>
      </c>
      <c r="L1462">
        <v>2.08</v>
      </c>
      <c r="N1462">
        <v>6.5</v>
      </c>
      <c r="O1462">
        <v>10</v>
      </c>
      <c r="S1462">
        <v>2.5</v>
      </c>
      <c r="T1462">
        <v>18.1</v>
      </c>
      <c r="U1462">
        <v>34.9</v>
      </c>
      <c r="V1462">
        <v>2162</v>
      </c>
      <c r="W1462">
        <v>30</v>
      </c>
      <c r="X1462" t="s">
        <v>155</v>
      </c>
    </row>
    <row r="1463" spans="1:24">
      <c r="A1463" t="str">
        <f>Hyperlink("https://www.diodes.com/part/view/DMT6006SPS","DMT6006SPS")</f>
        <v>DMT6006SPS</v>
      </c>
      <c r="B1463" t="str">
        <f>Hyperlink("https://www.diodes.com/assets/Datasheets/DMT6006SPS.pdf","DMT6006SPS Datasheet")</f>
        <v>DMT6006SPS Datasheet</v>
      </c>
      <c r="C1463" t="s">
        <v>721</v>
      </c>
      <c r="D1463" t="s">
        <v>28</v>
      </c>
      <c r="E1463" t="s">
        <v>26</v>
      </c>
      <c r="F1463" t="s">
        <v>27</v>
      </c>
      <c r="G1463" t="s">
        <v>28</v>
      </c>
      <c r="H1463">
        <v>60</v>
      </c>
      <c r="I1463">
        <v>20</v>
      </c>
      <c r="J1463">
        <v>16.2</v>
      </c>
      <c r="K1463">
        <v>98</v>
      </c>
      <c r="L1463">
        <v>2.45</v>
      </c>
      <c r="M1463">
        <v>89.3</v>
      </c>
      <c r="N1463">
        <v>6.2</v>
      </c>
      <c r="S1463">
        <v>4</v>
      </c>
      <c r="U1463">
        <v>27.9</v>
      </c>
      <c r="V1463">
        <v>1721</v>
      </c>
      <c r="W1463">
        <v>30</v>
      </c>
      <c r="X1463" t="s">
        <v>617</v>
      </c>
    </row>
    <row r="1464" spans="1:24">
      <c r="A1464" t="str">
        <f>Hyperlink("https://www.diodes.com/part/view/DMT6007LFG","DMT6007LFG")</f>
        <v>DMT6007LFG</v>
      </c>
      <c r="B1464" t="str">
        <f>Hyperlink("https://www.diodes.com/assets/Datasheets/DMT6007LFG.pdf","DMT6007LFG Datasheet")</f>
        <v>DMT6007LFG Datasheet</v>
      </c>
      <c r="C1464" t="s">
        <v>721</v>
      </c>
      <c r="D1464" t="s">
        <v>25</v>
      </c>
      <c r="E1464" t="s">
        <v>26</v>
      </c>
      <c r="F1464" t="s">
        <v>27</v>
      </c>
      <c r="G1464" t="s">
        <v>28</v>
      </c>
      <c r="H1464">
        <v>60</v>
      </c>
      <c r="I1464">
        <v>20</v>
      </c>
      <c r="J1464">
        <v>15</v>
      </c>
      <c r="K1464">
        <v>80</v>
      </c>
      <c r="L1464">
        <v>2.2</v>
      </c>
      <c r="M1464">
        <v>2</v>
      </c>
      <c r="N1464">
        <v>6</v>
      </c>
      <c r="O1464">
        <v>8.5</v>
      </c>
      <c r="S1464">
        <v>2</v>
      </c>
      <c r="T1464">
        <v>19.3</v>
      </c>
      <c r="U1464">
        <v>41.3</v>
      </c>
      <c r="V1464">
        <v>2090</v>
      </c>
      <c r="W1464">
        <v>30</v>
      </c>
      <c r="X1464" t="s">
        <v>529</v>
      </c>
    </row>
    <row r="1465" spans="1:24">
      <c r="A1465" t="str">
        <f>Hyperlink("https://www.diodes.com/part/view/DMT6007LFGQ","DMT6007LFGQ")</f>
        <v>DMT6007LFGQ</v>
      </c>
      <c r="B1465" t="str">
        <f>Hyperlink("https://www.diodes.com/assets/Datasheets/DMT6007LFGQ.pdf","DMT6007LFGQ Datasheet")</f>
        <v>DMT6007LFGQ Datasheet</v>
      </c>
      <c r="C1465" t="s">
        <v>24</v>
      </c>
      <c r="D1465" t="s">
        <v>25</v>
      </c>
      <c r="E1465" t="s">
        <v>33</v>
      </c>
      <c r="F1465" t="s">
        <v>27</v>
      </c>
      <c r="G1465" t="s">
        <v>28</v>
      </c>
      <c r="H1465">
        <v>60</v>
      </c>
      <c r="I1465">
        <v>20</v>
      </c>
      <c r="J1465">
        <v>15</v>
      </c>
      <c r="K1465">
        <v>80</v>
      </c>
      <c r="L1465">
        <v>2.2</v>
      </c>
      <c r="M1465">
        <v>62.5</v>
      </c>
      <c r="N1465">
        <v>6</v>
      </c>
      <c r="O1465">
        <v>8.5</v>
      </c>
      <c r="S1465">
        <v>2</v>
      </c>
      <c r="T1465">
        <v>19.3</v>
      </c>
      <c r="U1465">
        <v>41.3</v>
      </c>
      <c r="V1465">
        <v>2090</v>
      </c>
      <c r="W1465">
        <v>30</v>
      </c>
      <c r="X1465" t="s">
        <v>529</v>
      </c>
    </row>
    <row r="1466" spans="1:24">
      <c r="A1466" t="str">
        <f>Hyperlink("https://www.diodes.com/part/view/DMT6008LFG","DMT6008LFG")</f>
        <v>DMT6008LFG</v>
      </c>
      <c r="B1466" t="str">
        <f>Hyperlink("https://www.diodes.com/assets/Datasheets/DMT6008LFG.pdf","DMT6008LFG Datasheet")</f>
        <v>DMT6008LFG Datasheet</v>
      </c>
      <c r="C1466" t="s">
        <v>721</v>
      </c>
      <c r="D1466" t="s">
        <v>25</v>
      </c>
      <c r="E1466" t="s">
        <v>26</v>
      </c>
      <c r="F1466" t="s">
        <v>27</v>
      </c>
      <c r="G1466" t="s">
        <v>25</v>
      </c>
      <c r="H1466">
        <v>60</v>
      </c>
      <c r="I1466">
        <v>12</v>
      </c>
      <c r="J1466">
        <v>13</v>
      </c>
      <c r="K1466">
        <v>60</v>
      </c>
      <c r="L1466">
        <v>2.2</v>
      </c>
      <c r="M1466">
        <v>41</v>
      </c>
      <c r="N1466">
        <v>7.5</v>
      </c>
      <c r="O1466">
        <v>11.5</v>
      </c>
      <c r="S1466">
        <v>2</v>
      </c>
      <c r="T1466">
        <v>22.4</v>
      </c>
      <c r="U1466">
        <v>50.4</v>
      </c>
      <c r="V1466">
        <v>2713</v>
      </c>
      <c r="X1466" t="s">
        <v>529</v>
      </c>
    </row>
    <row r="1467" spans="1:24">
      <c r="A1467" t="str">
        <f>Hyperlink("https://www.diodes.com/part/view/DMT6009LCT","DMT6009LCT")</f>
        <v>DMT6009LCT</v>
      </c>
      <c r="B1467" t="str">
        <f>Hyperlink("https://www.diodes.com/assets/Datasheets/DMT6009LCT.pdf","DMT6009LCT Datasheet")</f>
        <v>DMT6009LCT Datasheet</v>
      </c>
      <c r="C1467" t="s">
        <v>24</v>
      </c>
      <c r="D1467" t="s">
        <v>28</v>
      </c>
      <c r="E1467" t="s">
        <v>26</v>
      </c>
      <c r="F1467" t="s">
        <v>27</v>
      </c>
      <c r="G1467" t="s">
        <v>28</v>
      </c>
      <c r="H1467">
        <v>60</v>
      </c>
      <c r="I1467">
        <v>16</v>
      </c>
      <c r="K1467">
        <v>37.2</v>
      </c>
      <c r="L1467">
        <v>2.2</v>
      </c>
      <c r="M1467">
        <v>25</v>
      </c>
      <c r="N1467">
        <v>12</v>
      </c>
      <c r="O1467">
        <v>14.5</v>
      </c>
      <c r="S1467">
        <v>2</v>
      </c>
      <c r="T1467">
        <v>15.6</v>
      </c>
      <c r="U1467">
        <v>33.5</v>
      </c>
      <c r="V1467">
        <v>1925</v>
      </c>
      <c r="W1467">
        <v>30</v>
      </c>
      <c r="X1467" t="s">
        <v>962</v>
      </c>
    </row>
    <row r="1468" spans="1:24">
      <c r="A1468" t="str">
        <f>Hyperlink("https://www.diodes.com/part/view/DMT6009LFG","DMT6009LFG")</f>
        <v>DMT6009LFG</v>
      </c>
      <c r="B1468" t="str">
        <f>Hyperlink("https://www.diodes.com/assets/Datasheets/DMT6009LFG.pdf","DMT6009LFG Datasheet")</f>
        <v>DMT6009LFG Datasheet</v>
      </c>
      <c r="C1468" t="s">
        <v>721</v>
      </c>
      <c r="D1468" t="s">
        <v>25</v>
      </c>
      <c r="E1468" t="s">
        <v>26</v>
      </c>
      <c r="F1468" t="s">
        <v>27</v>
      </c>
      <c r="G1468" t="s">
        <v>28</v>
      </c>
      <c r="H1468">
        <v>60</v>
      </c>
      <c r="I1468">
        <v>16</v>
      </c>
      <c r="J1468">
        <v>11</v>
      </c>
      <c r="K1468">
        <v>34</v>
      </c>
      <c r="L1468">
        <v>2.08</v>
      </c>
      <c r="M1468">
        <v>19.2</v>
      </c>
      <c r="N1468">
        <v>10</v>
      </c>
      <c r="O1468">
        <v>11.7</v>
      </c>
      <c r="S1468">
        <v>2</v>
      </c>
      <c r="T1468">
        <v>15.6</v>
      </c>
      <c r="U1468">
        <v>33.5</v>
      </c>
      <c r="V1468">
        <v>1925</v>
      </c>
      <c r="W1468">
        <v>30</v>
      </c>
      <c r="X1468" t="s">
        <v>529</v>
      </c>
    </row>
    <row r="1469" spans="1:24">
      <c r="A1469" t="str">
        <f>Hyperlink("https://www.diodes.com/part/view/DMT6009LK3","DMT6009LK3")</f>
        <v>DMT6009LK3</v>
      </c>
      <c r="B1469" t="str">
        <f>Hyperlink("https://www.diodes.com/assets/Datasheets/DMT6009LK3.pdf","DMT6009LK3 Datasheet")</f>
        <v>DMT6009LK3 Datasheet</v>
      </c>
      <c r="C1469" t="s">
        <v>721</v>
      </c>
      <c r="D1469" t="s">
        <v>25</v>
      </c>
      <c r="E1469" t="s">
        <v>26</v>
      </c>
      <c r="F1469" t="s">
        <v>27</v>
      </c>
      <c r="G1469" t="s">
        <v>28</v>
      </c>
      <c r="H1469">
        <v>60</v>
      </c>
      <c r="I1469">
        <v>16</v>
      </c>
      <c r="J1469">
        <v>13.3</v>
      </c>
      <c r="K1469">
        <v>57</v>
      </c>
      <c r="L1469">
        <v>2.6</v>
      </c>
      <c r="M1469">
        <v>50</v>
      </c>
      <c r="N1469">
        <v>10</v>
      </c>
      <c r="O1469">
        <v>12.8</v>
      </c>
      <c r="S1469">
        <v>2</v>
      </c>
      <c r="T1469">
        <v>15.6</v>
      </c>
      <c r="U1469">
        <v>33.5</v>
      </c>
      <c r="V1469">
        <v>1925</v>
      </c>
      <c r="W1469">
        <v>30</v>
      </c>
      <c r="X1469" t="s">
        <v>507</v>
      </c>
    </row>
    <row r="1470" spans="1:24">
      <c r="A1470" t="str">
        <f>Hyperlink("https://www.diodes.com/part/view/DMT6009LPS","DMT6009LPS")</f>
        <v>DMT6009LPS</v>
      </c>
      <c r="B1470" t="str">
        <f>Hyperlink("https://www.diodes.com/assets/Datasheets/DMT6009LPS.pdf","DMT6009LPS Datasheet")</f>
        <v>DMT6009LPS Datasheet</v>
      </c>
      <c r="C1470" t="s">
        <v>721</v>
      </c>
      <c r="D1470" t="s">
        <v>25</v>
      </c>
      <c r="E1470" t="s">
        <v>26</v>
      </c>
      <c r="F1470" t="s">
        <v>27</v>
      </c>
      <c r="G1470" t="s">
        <v>28</v>
      </c>
      <c r="H1470">
        <v>60</v>
      </c>
      <c r="I1470">
        <v>16</v>
      </c>
      <c r="J1470">
        <v>10.6</v>
      </c>
      <c r="K1470">
        <v>87</v>
      </c>
      <c r="L1470">
        <v>2.3</v>
      </c>
      <c r="M1470">
        <v>113</v>
      </c>
      <c r="N1470">
        <v>10</v>
      </c>
      <c r="O1470">
        <v>12</v>
      </c>
      <c r="S1470">
        <v>2</v>
      </c>
      <c r="T1470">
        <v>15.6</v>
      </c>
      <c r="U1470">
        <v>33.5</v>
      </c>
      <c r="V1470">
        <v>1925</v>
      </c>
      <c r="W1470">
        <v>30</v>
      </c>
      <c r="X1470" t="s">
        <v>617</v>
      </c>
    </row>
    <row r="1471" spans="1:24">
      <c r="A1471" t="str">
        <f>Hyperlink("https://www.diodes.com/part/view/DMT6009LSS","DMT6009LSS")</f>
        <v>DMT6009LSS</v>
      </c>
      <c r="B1471" t="str">
        <f>Hyperlink("https://www.diodes.com/assets/Datasheets/DMT6009LSS.pdf","DMT6009LSS Datasheet")</f>
        <v>DMT6009LSS Datasheet</v>
      </c>
      <c r="C1471" t="s">
        <v>721</v>
      </c>
      <c r="D1471" t="s">
        <v>28</v>
      </c>
      <c r="E1471" t="s">
        <v>26</v>
      </c>
      <c r="F1471" t="s">
        <v>27</v>
      </c>
      <c r="G1471" t="s">
        <v>28</v>
      </c>
      <c r="H1471">
        <v>60</v>
      </c>
      <c r="I1471">
        <v>20</v>
      </c>
      <c r="J1471">
        <v>10.8</v>
      </c>
      <c r="L1471">
        <v>1.6</v>
      </c>
      <c r="N1471">
        <v>9.5</v>
      </c>
      <c r="O1471">
        <v>12</v>
      </c>
      <c r="S1471">
        <v>2</v>
      </c>
      <c r="T1471">
        <v>15.6</v>
      </c>
      <c r="U1471">
        <v>33.5</v>
      </c>
      <c r="V1471">
        <v>1925</v>
      </c>
      <c r="W1471">
        <v>30</v>
      </c>
      <c r="X1471" t="s">
        <v>155</v>
      </c>
    </row>
    <row r="1472" spans="1:24">
      <c r="A1472" t="str">
        <f>Hyperlink("https://www.diodes.com/part/view/DMT6010LFG","DMT6010LFG")</f>
        <v>DMT6010LFG</v>
      </c>
      <c r="B1472" t="str">
        <f>Hyperlink("https://www.diodes.com/assets/Datasheets/DMT6010LFG.pdf","DMT6010LFG Datasheet")</f>
        <v>DMT6010LFG Datasheet</v>
      </c>
      <c r="C1472" t="s">
        <v>721</v>
      </c>
      <c r="D1472" t="s">
        <v>25</v>
      </c>
      <c r="E1472" t="s">
        <v>26</v>
      </c>
      <c r="F1472" t="s">
        <v>27</v>
      </c>
      <c r="G1472" t="s">
        <v>28</v>
      </c>
      <c r="H1472">
        <v>60</v>
      </c>
      <c r="I1472">
        <v>20</v>
      </c>
      <c r="J1472">
        <v>13</v>
      </c>
      <c r="K1472">
        <v>30</v>
      </c>
      <c r="L1472">
        <v>2.2</v>
      </c>
      <c r="N1472">
        <v>7.5</v>
      </c>
      <c r="O1472">
        <v>11.5</v>
      </c>
      <c r="S1472">
        <v>2</v>
      </c>
      <c r="T1472">
        <v>19.3</v>
      </c>
      <c r="U1472">
        <v>41.3</v>
      </c>
      <c r="V1472">
        <v>2090</v>
      </c>
      <c r="X1472" t="s">
        <v>529</v>
      </c>
    </row>
    <row r="1473" spans="1:24">
      <c r="A1473" t="str">
        <f>Hyperlink("https://www.diodes.com/part/view/DMT6010LPS","DMT6010LPS")</f>
        <v>DMT6010LPS</v>
      </c>
      <c r="B1473" t="str">
        <f>Hyperlink("https://www.diodes.com/assets/Datasheets/DMT6010LPS.pdf","DMT6010LPS Datasheet")</f>
        <v>DMT6010LPS Datasheet</v>
      </c>
      <c r="C1473" t="s">
        <v>721</v>
      </c>
      <c r="D1473" t="s">
        <v>25</v>
      </c>
      <c r="E1473" t="s">
        <v>26</v>
      </c>
      <c r="F1473" t="s">
        <v>27</v>
      </c>
      <c r="G1473" t="s">
        <v>28</v>
      </c>
      <c r="H1473">
        <v>60</v>
      </c>
      <c r="I1473">
        <v>20</v>
      </c>
      <c r="J1473">
        <v>13.5</v>
      </c>
      <c r="K1473">
        <v>80</v>
      </c>
      <c r="L1473">
        <v>2.2</v>
      </c>
      <c r="M1473">
        <v>113</v>
      </c>
      <c r="N1473">
        <v>8</v>
      </c>
      <c r="O1473">
        <v>12</v>
      </c>
      <c r="S1473">
        <v>3</v>
      </c>
      <c r="T1473">
        <v>19.3</v>
      </c>
      <c r="U1473">
        <v>41.3</v>
      </c>
      <c r="V1473">
        <v>2090</v>
      </c>
      <c r="X1473" t="s">
        <v>617</v>
      </c>
    </row>
    <row r="1474" spans="1:24">
      <c r="A1474" t="str">
        <f>Hyperlink("https://www.diodes.com/part/view/DMT6010LSS","DMT6010LSS")</f>
        <v>DMT6010LSS</v>
      </c>
      <c r="B1474" t="str">
        <f>Hyperlink("https://www.diodes.com/assets/Datasheets/DMT6010LSS.pdf","DMT6010LSS Datasheet")</f>
        <v>DMT6010LSS Datasheet</v>
      </c>
      <c r="C1474" t="s">
        <v>24</v>
      </c>
      <c r="D1474" t="s">
        <v>25</v>
      </c>
      <c r="E1474" t="s">
        <v>26</v>
      </c>
      <c r="F1474" t="s">
        <v>27</v>
      </c>
      <c r="G1474" t="s">
        <v>28</v>
      </c>
      <c r="H1474">
        <v>60</v>
      </c>
      <c r="I1474">
        <v>20</v>
      </c>
      <c r="J1474">
        <v>14</v>
      </c>
      <c r="L1474">
        <v>2</v>
      </c>
      <c r="N1474">
        <v>8</v>
      </c>
      <c r="O1474">
        <v>12</v>
      </c>
      <c r="S1474">
        <v>2</v>
      </c>
      <c r="T1474">
        <v>19.3</v>
      </c>
      <c r="U1474">
        <v>41.3</v>
      </c>
      <c r="V1474">
        <v>2090</v>
      </c>
      <c r="W1474">
        <v>30</v>
      </c>
      <c r="X1474" t="s">
        <v>155</v>
      </c>
    </row>
    <row r="1475" spans="1:24">
      <c r="A1475" t="str">
        <f>Hyperlink("https://www.diodes.com/part/view/DMT6010SCT","DMT6010SCT")</f>
        <v>DMT6010SCT</v>
      </c>
      <c r="B1475" t="str">
        <f>Hyperlink("https://www.diodes.com/assets/Datasheets/DMT6010SCT.pdf","DMT6010SCT Datasheet")</f>
        <v>DMT6010SCT Datasheet</v>
      </c>
      <c r="C1475" t="s">
        <v>721</v>
      </c>
      <c r="D1475" t="s">
        <v>28</v>
      </c>
      <c r="E1475" t="s">
        <v>26</v>
      </c>
      <c r="F1475" t="s">
        <v>27</v>
      </c>
      <c r="G1475" t="s">
        <v>28</v>
      </c>
      <c r="H1475">
        <v>60</v>
      </c>
      <c r="I1475">
        <v>20</v>
      </c>
      <c r="K1475">
        <v>98</v>
      </c>
      <c r="L1475">
        <v>2.3</v>
      </c>
      <c r="M1475">
        <v>104</v>
      </c>
      <c r="N1475">
        <v>7.2</v>
      </c>
      <c r="S1475">
        <v>4</v>
      </c>
      <c r="U1475">
        <v>36.3</v>
      </c>
      <c r="V1475">
        <v>1940</v>
      </c>
      <c r="W1475">
        <v>30</v>
      </c>
      <c r="X1475" t="s">
        <v>962</v>
      </c>
    </row>
    <row r="1476" spans="1:24">
      <c r="A1476" t="str">
        <f>Hyperlink("https://www.diodes.com/part/view/DMT6011LPDW","DMT6011LPDW")</f>
        <v>DMT6011LPDW</v>
      </c>
      <c r="B1476" t="str">
        <f>Hyperlink("https://www.diodes.com/assets/Datasheets/DMT6011LPDW.pdf","DMT6011LPDW Datasheet")</f>
        <v>DMT6011LPDW Datasheet</v>
      </c>
      <c r="C1476" t="s">
        <v>38</v>
      </c>
      <c r="D1476" t="s">
        <v>28</v>
      </c>
      <c r="E1476" t="s">
        <v>26</v>
      </c>
      <c r="F1476" t="s">
        <v>35</v>
      </c>
      <c r="G1476" t="s">
        <v>25</v>
      </c>
      <c r="H1476">
        <v>60</v>
      </c>
      <c r="I1476">
        <v>20</v>
      </c>
      <c r="J1476">
        <v>10.3</v>
      </c>
      <c r="L1476">
        <v>2.5</v>
      </c>
      <c r="N1476">
        <v>14</v>
      </c>
      <c r="O1476">
        <v>22</v>
      </c>
      <c r="S1476">
        <v>2.5</v>
      </c>
      <c r="T1476">
        <v>11.8</v>
      </c>
      <c r="U1476">
        <v>22.2</v>
      </c>
      <c r="X1476" t="s">
        <v>617</v>
      </c>
    </row>
    <row r="1477" spans="1:24">
      <c r="A1477" t="str">
        <f>Hyperlink("https://www.diodes.com/part/view/DMT6011LSS","DMT6011LSS")</f>
        <v>DMT6011LSS</v>
      </c>
      <c r="B1477" t="str">
        <f>Hyperlink("https://www.diodes.com/assets/Datasheets/DMT6011LSS.pdf","DMT6011LSS Datasheet")</f>
        <v>DMT6011LSS Datasheet</v>
      </c>
      <c r="C1477" t="s">
        <v>721</v>
      </c>
      <c r="D1477" t="s">
        <v>28</v>
      </c>
      <c r="E1477" t="s">
        <v>26</v>
      </c>
      <c r="F1477" t="s">
        <v>27</v>
      </c>
      <c r="G1477" t="s">
        <v>25</v>
      </c>
      <c r="H1477">
        <v>60</v>
      </c>
      <c r="I1477">
        <v>20</v>
      </c>
      <c r="J1477">
        <v>11.4</v>
      </c>
      <c r="L1477">
        <v>2.1</v>
      </c>
      <c r="N1477">
        <v>11</v>
      </c>
      <c r="O1477">
        <v>14.5</v>
      </c>
      <c r="S1477">
        <v>2.5</v>
      </c>
      <c r="T1477">
        <v>11.8</v>
      </c>
      <c r="U1477">
        <v>22.2</v>
      </c>
      <c r="V1477">
        <v>1072</v>
      </c>
      <c r="W1477">
        <v>30</v>
      </c>
      <c r="X1477" t="s">
        <v>155</v>
      </c>
    </row>
    <row r="1478" spans="1:24">
      <c r="A1478" t="str">
        <f>Hyperlink("https://www.diodes.com/part/view/DMT6012LFDF","DMT6012LFDF")</f>
        <v>DMT6012LFDF</v>
      </c>
      <c r="B1478" t="str">
        <f>Hyperlink("https://www.diodes.com/assets/Datasheets/DMT6012LFDF.pdf","DMT6012LFDF Datasheet")</f>
        <v>DMT6012LFDF Datasheet</v>
      </c>
      <c r="C1478" t="s">
        <v>721</v>
      </c>
      <c r="D1478" t="s">
        <v>28</v>
      </c>
      <c r="E1478" t="s">
        <v>26</v>
      </c>
      <c r="F1478" t="s">
        <v>27</v>
      </c>
      <c r="G1478" t="s">
        <v>28</v>
      </c>
      <c r="H1478">
        <v>60</v>
      </c>
      <c r="I1478">
        <v>20</v>
      </c>
      <c r="J1478">
        <v>9.5</v>
      </c>
      <c r="L1478">
        <v>1.9</v>
      </c>
      <c r="M1478">
        <v>11</v>
      </c>
      <c r="N1478">
        <v>14</v>
      </c>
      <c r="O1478">
        <v>21</v>
      </c>
      <c r="S1478">
        <v>2.3</v>
      </c>
      <c r="T1478">
        <v>7.3</v>
      </c>
      <c r="U1478">
        <v>13.6</v>
      </c>
      <c r="V1478">
        <v>785</v>
      </c>
      <c r="W1478">
        <v>30</v>
      </c>
      <c r="X1478" t="s">
        <v>568</v>
      </c>
    </row>
    <row r="1479" spans="1:24">
      <c r="A1479" t="str">
        <f>Hyperlink("https://www.diodes.com/part/view/DMT6012LFV","DMT6012LFV")</f>
        <v>DMT6012LFV</v>
      </c>
      <c r="B1479" t="str">
        <f>Hyperlink("https://www.diodes.com/assets/Datasheets/DMT6012LFV.pdf","DMT6012LFV Datasheet")</f>
        <v>DMT6012LFV Datasheet</v>
      </c>
      <c r="C1479" t="s">
        <v>721</v>
      </c>
      <c r="D1479" t="s">
        <v>28</v>
      </c>
      <c r="E1479" t="s">
        <v>26</v>
      </c>
      <c r="F1479" t="s">
        <v>27</v>
      </c>
      <c r="G1479" t="s">
        <v>25</v>
      </c>
      <c r="H1479">
        <v>60</v>
      </c>
      <c r="I1479">
        <v>20</v>
      </c>
      <c r="K1479">
        <v>43.3</v>
      </c>
      <c r="L1479">
        <v>1.95</v>
      </c>
      <c r="M1479">
        <v>33.78</v>
      </c>
      <c r="N1479">
        <v>12</v>
      </c>
      <c r="O1479">
        <v>15</v>
      </c>
      <c r="S1479">
        <v>2.5</v>
      </c>
      <c r="T1479">
        <v>10.7</v>
      </c>
      <c r="U1479">
        <v>22.2</v>
      </c>
      <c r="V1479">
        <v>1522</v>
      </c>
      <c r="W1479">
        <v>30</v>
      </c>
      <c r="X1479" t="s">
        <v>529</v>
      </c>
    </row>
    <row r="1480" spans="1:24">
      <c r="A1480" t="str">
        <f>Hyperlink("https://www.diodes.com/part/view/DMT6012LPSW","DMT6012LPSW")</f>
        <v>DMT6012LPSW</v>
      </c>
      <c r="B1480" t="str">
        <f>Hyperlink("https://www.diodes.com/assets/Datasheets/DMT6012LPSW.pdf","DMT6012LPSW Datasheet")</f>
        <v>DMT6012LPSW Datasheet</v>
      </c>
      <c r="C1480" t="s">
        <v>721</v>
      </c>
      <c r="D1480" t="s">
        <v>28</v>
      </c>
      <c r="E1480" t="s">
        <v>26</v>
      </c>
      <c r="F1480" t="s">
        <v>27</v>
      </c>
      <c r="G1480" t="s">
        <v>25</v>
      </c>
      <c r="H1480">
        <v>60</v>
      </c>
      <c r="I1480">
        <v>20</v>
      </c>
      <c r="J1480">
        <v>13.1</v>
      </c>
      <c r="K1480">
        <v>31.5</v>
      </c>
      <c r="L1480">
        <v>3.1</v>
      </c>
      <c r="M1480">
        <v>17.9</v>
      </c>
      <c r="N1480">
        <v>12</v>
      </c>
      <c r="O1480">
        <v>17</v>
      </c>
      <c r="S1480">
        <v>2.5</v>
      </c>
      <c r="T1480">
        <v>10.7</v>
      </c>
      <c r="U1480">
        <v>22.2</v>
      </c>
      <c r="V1480">
        <v>1522</v>
      </c>
      <c r="W1480">
        <v>30</v>
      </c>
      <c r="X1480" t="s">
        <v>617</v>
      </c>
    </row>
    <row r="1481" spans="1:24">
      <c r="A1481" t="str">
        <f>Hyperlink("https://www.diodes.com/part/view/DMT6012LSS","DMT6012LSS")</f>
        <v>DMT6012LSS</v>
      </c>
      <c r="B1481" t="str">
        <f>Hyperlink("https://www.diodes.com/assets/Datasheets/DMT6012LSS.pdf","DMT6012LSS Datasheet")</f>
        <v>DMT6012LSS Datasheet</v>
      </c>
      <c r="C1481" t="s">
        <v>721</v>
      </c>
      <c r="D1481" t="s">
        <v>28</v>
      </c>
      <c r="E1481" t="s">
        <v>26</v>
      </c>
      <c r="F1481" t="s">
        <v>27</v>
      </c>
      <c r="G1481" t="s">
        <v>25</v>
      </c>
      <c r="H1481">
        <v>60</v>
      </c>
      <c r="I1481">
        <v>20</v>
      </c>
      <c r="J1481">
        <v>10.4</v>
      </c>
      <c r="L1481">
        <v>1.84</v>
      </c>
      <c r="M1481">
        <v>13.4</v>
      </c>
      <c r="N1481">
        <v>11</v>
      </c>
      <c r="O1481">
        <v>14</v>
      </c>
      <c r="S1481">
        <v>2</v>
      </c>
      <c r="T1481">
        <v>10.7</v>
      </c>
      <c r="U1481">
        <v>22.2</v>
      </c>
      <c r="V1481">
        <v>1522</v>
      </c>
      <c r="W1481">
        <v>30</v>
      </c>
      <c r="X1481" t="s">
        <v>155</v>
      </c>
    </row>
    <row r="1482" spans="1:24">
      <c r="A1482" t="str">
        <f>Hyperlink("https://www.diodes.com/part/view/DMT6013LFDF","DMT6013LFDF")</f>
        <v>DMT6013LFDF</v>
      </c>
      <c r="B1482" t="str">
        <f>Hyperlink("https://www.diodes.com/assets/Datasheets/DMT6013LFDF.pdf","DMT6013LFDF Datasheet")</f>
        <v>DMT6013LFDF Datasheet</v>
      </c>
      <c r="C1482" t="s">
        <v>721</v>
      </c>
      <c r="D1482" t="s">
        <v>28</v>
      </c>
      <c r="E1482" t="s">
        <v>26</v>
      </c>
      <c r="F1482" t="s">
        <v>27</v>
      </c>
      <c r="G1482" t="s">
        <v>28</v>
      </c>
      <c r="H1482">
        <v>60</v>
      </c>
      <c r="I1482">
        <v>20</v>
      </c>
      <c r="J1482">
        <v>10</v>
      </c>
      <c r="L1482">
        <v>1.9</v>
      </c>
      <c r="M1482">
        <v>10.8</v>
      </c>
      <c r="N1482">
        <v>15</v>
      </c>
      <c r="O1482">
        <v>21.5</v>
      </c>
      <c r="S1482">
        <v>2.3</v>
      </c>
      <c r="T1482">
        <v>8.5</v>
      </c>
      <c r="U1482">
        <v>15</v>
      </c>
      <c r="V1482">
        <v>1081</v>
      </c>
      <c r="W1482">
        <v>30</v>
      </c>
      <c r="X1482" t="s">
        <v>568</v>
      </c>
    </row>
    <row r="1483" spans="1:24">
      <c r="A1483" t="str">
        <f>Hyperlink("https://www.diodes.com/part/view/DMT6013LSS","DMT6013LSS")</f>
        <v>DMT6013LSS</v>
      </c>
      <c r="B1483" t="str">
        <f>Hyperlink("https://www.diodes.com/assets/Datasheets/DMT6013LSS.pdf","DMT6013LSS Datasheet")</f>
        <v>DMT6013LSS Datasheet</v>
      </c>
      <c r="C1483" t="s">
        <v>721</v>
      </c>
      <c r="D1483" t="s">
        <v>28</v>
      </c>
      <c r="E1483" t="s">
        <v>26</v>
      </c>
      <c r="F1483" t="s">
        <v>27</v>
      </c>
      <c r="G1483" t="s">
        <v>28</v>
      </c>
      <c r="H1483">
        <v>60</v>
      </c>
      <c r="I1483">
        <v>20</v>
      </c>
      <c r="J1483">
        <v>10</v>
      </c>
      <c r="L1483">
        <v>2.1</v>
      </c>
      <c r="N1483">
        <v>14.3</v>
      </c>
      <c r="O1483">
        <v>21</v>
      </c>
      <c r="S1483">
        <v>2.5</v>
      </c>
      <c r="T1483">
        <v>8.5</v>
      </c>
      <c r="U1483">
        <v>15</v>
      </c>
      <c r="V1483">
        <v>1081</v>
      </c>
      <c r="W1483">
        <v>30</v>
      </c>
      <c r="X1483" t="s">
        <v>155</v>
      </c>
    </row>
    <row r="1484" spans="1:24">
      <c r="A1484" t="str">
        <f>Hyperlink("https://www.diodes.com/part/view/DMT6015LFV","DMT6015LFV")</f>
        <v>DMT6015LFV</v>
      </c>
      <c r="B1484" t="str">
        <f>Hyperlink("https://www.diodes.com/assets/Datasheets/DMT6015LFV.pdf","DMT6015LFV Datasheet")</f>
        <v>DMT6015LFV Datasheet</v>
      </c>
      <c r="C1484" t="s">
        <v>24</v>
      </c>
      <c r="D1484" t="s">
        <v>28</v>
      </c>
      <c r="E1484" t="s">
        <v>26</v>
      </c>
      <c r="F1484" t="s">
        <v>27</v>
      </c>
      <c r="G1484" t="s">
        <v>25</v>
      </c>
      <c r="H1484">
        <v>60</v>
      </c>
      <c r="I1484">
        <v>16</v>
      </c>
      <c r="J1484">
        <v>9.5</v>
      </c>
      <c r="K1484">
        <v>35</v>
      </c>
      <c r="L1484">
        <v>2.2</v>
      </c>
      <c r="M1484">
        <v>30</v>
      </c>
      <c r="N1484">
        <v>16</v>
      </c>
      <c r="O1484">
        <v>22</v>
      </c>
      <c r="S1484">
        <v>2.5</v>
      </c>
      <c r="T1484">
        <v>8.9</v>
      </c>
      <c r="U1484">
        <v>18.9</v>
      </c>
      <c r="V1484">
        <v>1103</v>
      </c>
      <c r="W1484">
        <v>30</v>
      </c>
      <c r="X1484" t="s">
        <v>570</v>
      </c>
    </row>
    <row r="1485" spans="1:24">
      <c r="A1485" t="str">
        <f>Hyperlink("https://www.diodes.com/part/view/DMT6015LFVW","DMT6015LFVW")</f>
        <v>DMT6015LFVW</v>
      </c>
      <c r="B1485" t="str">
        <f>Hyperlink("https://www.diodes.com/assets/Datasheets/DMT6015LFVW.pdf","DMT6015LFVW Datasheet")</f>
        <v>DMT6015LFVW Datasheet</v>
      </c>
      <c r="C1485" t="s">
        <v>721</v>
      </c>
      <c r="D1485" t="s">
        <v>28</v>
      </c>
      <c r="E1485" t="s">
        <v>26</v>
      </c>
      <c r="F1485" t="s">
        <v>27</v>
      </c>
      <c r="G1485" t="s">
        <v>25</v>
      </c>
      <c r="H1485">
        <v>60</v>
      </c>
      <c r="I1485">
        <v>16</v>
      </c>
      <c r="J1485">
        <v>10</v>
      </c>
      <c r="K1485">
        <v>31.8</v>
      </c>
      <c r="L1485">
        <v>2.8</v>
      </c>
      <c r="M1485">
        <v>28.4</v>
      </c>
      <c r="N1485">
        <v>16</v>
      </c>
      <c r="O1485">
        <v>22</v>
      </c>
      <c r="S1485">
        <v>2.5</v>
      </c>
      <c r="T1485">
        <v>8.6</v>
      </c>
      <c r="U1485">
        <v>15.7</v>
      </c>
      <c r="V1485">
        <v>808</v>
      </c>
      <c r="W1485">
        <v>30</v>
      </c>
      <c r="X1485" t="s">
        <v>529</v>
      </c>
    </row>
    <row r="1486" spans="1:24">
      <c r="A1486" t="str">
        <f>Hyperlink("https://www.diodes.com/part/view/DMT6015LPDW","DMT6015LPDW")</f>
        <v>DMT6015LPDW</v>
      </c>
      <c r="B1486" t="str">
        <f>Hyperlink("https://www.diodes.com/assets/Datasheets/DMT6015LPDW.pdf","DMT6015LPDW Datasheet")</f>
        <v>DMT6015LPDW Datasheet</v>
      </c>
      <c r="C1486" t="s">
        <v>38</v>
      </c>
      <c r="D1486" t="s">
        <v>28</v>
      </c>
      <c r="E1486" t="s">
        <v>26</v>
      </c>
      <c r="F1486" t="s">
        <v>35</v>
      </c>
      <c r="G1486" t="s">
        <v>25</v>
      </c>
      <c r="H1486">
        <v>60</v>
      </c>
      <c r="I1486">
        <v>16</v>
      </c>
      <c r="J1486">
        <v>9.4</v>
      </c>
      <c r="K1486">
        <v>17.1</v>
      </c>
      <c r="L1486">
        <v>2.4</v>
      </c>
      <c r="M1486">
        <v>7.9</v>
      </c>
      <c r="N1486">
        <v>18</v>
      </c>
      <c r="O1486">
        <v>24.5</v>
      </c>
      <c r="S1486">
        <v>2.5</v>
      </c>
      <c r="T1486">
        <v>8.6</v>
      </c>
      <c r="U1486">
        <v>15.7</v>
      </c>
      <c r="V1486">
        <v>808</v>
      </c>
      <c r="W1486">
        <v>30</v>
      </c>
      <c r="X1486" t="s">
        <v>115</v>
      </c>
    </row>
    <row r="1487" spans="1:24">
      <c r="A1487" t="str">
        <f>Hyperlink("https://www.diodes.com/part/view/DMT6015LPS","DMT6015LPS")</f>
        <v>DMT6015LPS</v>
      </c>
      <c r="B1487" t="str">
        <f>Hyperlink("https://www.diodes.com/assets/Datasheets/DMT6015LPS.pdf","DMT6015LPS Datasheet")</f>
        <v>DMT6015LPS Datasheet</v>
      </c>
      <c r="C1487" t="s">
        <v>721</v>
      </c>
      <c r="D1487" t="s">
        <v>28</v>
      </c>
      <c r="E1487" t="s">
        <v>26</v>
      </c>
      <c r="F1487" t="s">
        <v>27</v>
      </c>
      <c r="G1487" t="s">
        <v>25</v>
      </c>
      <c r="H1487">
        <v>60</v>
      </c>
      <c r="I1487">
        <v>16</v>
      </c>
      <c r="J1487">
        <v>10.6</v>
      </c>
      <c r="K1487">
        <v>31</v>
      </c>
      <c r="L1487">
        <v>2.7</v>
      </c>
      <c r="N1487">
        <v>16</v>
      </c>
      <c r="O1487">
        <v>24</v>
      </c>
      <c r="S1487">
        <v>2.5</v>
      </c>
      <c r="T1487">
        <v>8.9</v>
      </c>
      <c r="U1487">
        <v>18.9</v>
      </c>
      <c r="V1487">
        <v>1103</v>
      </c>
      <c r="W1487">
        <v>30</v>
      </c>
      <c r="X1487" t="s">
        <v>617</v>
      </c>
    </row>
    <row r="1488" spans="1:24">
      <c r="A1488" t="str">
        <f>Hyperlink("https://www.diodes.com/part/view/DMT6015LSS","DMT6015LSS")</f>
        <v>DMT6015LSS</v>
      </c>
      <c r="B1488" t="str">
        <f>Hyperlink("https://www.diodes.com/assets/Datasheets/DMT6015LSS.pdf","DMT6015LSS Datasheet")</f>
        <v>DMT6015LSS Datasheet</v>
      </c>
      <c r="C1488" t="s">
        <v>966</v>
      </c>
      <c r="D1488" t="s">
        <v>28</v>
      </c>
      <c r="E1488" t="s">
        <v>26</v>
      </c>
      <c r="F1488" t="s">
        <v>27</v>
      </c>
      <c r="G1488" t="s">
        <v>25</v>
      </c>
      <c r="H1488">
        <v>60</v>
      </c>
      <c r="I1488">
        <v>16</v>
      </c>
      <c r="J1488">
        <v>9.2</v>
      </c>
      <c r="L1488">
        <v>2.1</v>
      </c>
      <c r="N1488">
        <v>16</v>
      </c>
      <c r="O1488">
        <v>21</v>
      </c>
      <c r="S1488">
        <v>2.5</v>
      </c>
      <c r="T1488">
        <v>8.9</v>
      </c>
      <c r="U1488">
        <v>18.9</v>
      </c>
      <c r="V1488">
        <v>1103</v>
      </c>
      <c r="W1488">
        <v>30</v>
      </c>
      <c r="X1488" t="s">
        <v>155</v>
      </c>
    </row>
    <row r="1489" spans="1:24">
      <c r="A1489" t="str">
        <f>Hyperlink("https://www.diodes.com/part/view/DMT6016LFDF","DMT6016LFDF")</f>
        <v>DMT6016LFDF</v>
      </c>
      <c r="B1489" t="str">
        <f>Hyperlink("https://www.diodes.com/assets/Datasheets/DMT6016LFDF.pdf","DMT6016LFDF Datasheet")</f>
        <v>DMT6016LFDF Datasheet</v>
      </c>
      <c r="C1489" t="s">
        <v>721</v>
      </c>
      <c r="D1489" t="s">
        <v>25</v>
      </c>
      <c r="E1489" t="s">
        <v>26</v>
      </c>
      <c r="F1489" t="s">
        <v>27</v>
      </c>
      <c r="G1489" t="s">
        <v>28</v>
      </c>
      <c r="H1489">
        <v>60</v>
      </c>
      <c r="I1489">
        <v>20</v>
      </c>
      <c r="J1489">
        <v>8.9</v>
      </c>
      <c r="L1489">
        <v>1.9</v>
      </c>
      <c r="N1489">
        <v>16</v>
      </c>
      <c r="O1489">
        <v>27</v>
      </c>
      <c r="S1489">
        <v>3</v>
      </c>
      <c r="T1489">
        <v>8.4</v>
      </c>
      <c r="U1489">
        <v>17</v>
      </c>
      <c r="V1489">
        <v>864</v>
      </c>
      <c r="X1489" t="s">
        <v>568</v>
      </c>
    </row>
    <row r="1490" spans="1:24">
      <c r="A1490" t="str">
        <f>Hyperlink("https://www.diodes.com/part/view/DMT6016LPS","DMT6016LPS")</f>
        <v>DMT6016LPS</v>
      </c>
      <c r="B1490" t="str">
        <f>Hyperlink("https://www.diodes.com/assets/Datasheets/DMT6016LPS.pdf","DMT6016LPS Datasheet")</f>
        <v>DMT6016LPS Datasheet</v>
      </c>
      <c r="C1490" t="s">
        <v>721</v>
      </c>
      <c r="D1490" t="s">
        <v>25</v>
      </c>
      <c r="E1490" t="s">
        <v>26</v>
      </c>
      <c r="F1490" t="s">
        <v>27</v>
      </c>
      <c r="G1490" t="s">
        <v>28</v>
      </c>
      <c r="H1490">
        <v>60</v>
      </c>
      <c r="I1490">
        <v>20</v>
      </c>
      <c r="J1490">
        <v>10</v>
      </c>
      <c r="K1490">
        <v>32</v>
      </c>
      <c r="L1490">
        <v>2.55</v>
      </c>
      <c r="N1490">
        <v>16</v>
      </c>
      <c r="O1490">
        <v>24</v>
      </c>
      <c r="S1490">
        <v>2.5</v>
      </c>
      <c r="T1490">
        <v>8.4</v>
      </c>
      <c r="U1490">
        <v>17</v>
      </c>
      <c r="V1490">
        <v>864</v>
      </c>
      <c r="X1490" t="s">
        <v>617</v>
      </c>
    </row>
    <row r="1491" spans="1:24">
      <c r="A1491" t="str">
        <f>Hyperlink("https://www.diodes.com/part/view/DMT6016LPSW","DMT6016LPSW")</f>
        <v>DMT6016LPSW</v>
      </c>
      <c r="B1491" t="str">
        <f>Hyperlink("https://www.diodes.com/assets/Datasheets/DMT6016LPSW.pdf","DMT6016LPSW Datasheet")</f>
        <v>DMT6016LPSW Datasheet</v>
      </c>
      <c r="C1491" t="s">
        <v>721</v>
      </c>
      <c r="D1491" t="s">
        <v>28</v>
      </c>
      <c r="E1491" t="s">
        <v>26</v>
      </c>
      <c r="F1491" t="s">
        <v>27</v>
      </c>
      <c r="G1491" t="s">
        <v>28</v>
      </c>
      <c r="H1491">
        <v>60</v>
      </c>
      <c r="I1491">
        <v>20</v>
      </c>
      <c r="J1491">
        <v>11.2</v>
      </c>
      <c r="K1491">
        <v>43</v>
      </c>
      <c r="L1491">
        <v>2.84</v>
      </c>
      <c r="M1491">
        <v>41.67</v>
      </c>
      <c r="N1491">
        <v>16.5</v>
      </c>
      <c r="O1491">
        <v>26</v>
      </c>
      <c r="S1491">
        <v>2.5</v>
      </c>
      <c r="T1491">
        <v>8.4</v>
      </c>
      <c r="U1491">
        <v>17</v>
      </c>
      <c r="V1491">
        <v>864</v>
      </c>
      <c r="W1491">
        <v>30</v>
      </c>
      <c r="X1491" t="s">
        <v>617</v>
      </c>
    </row>
    <row r="1492" spans="1:24">
      <c r="A1492" t="str">
        <f>Hyperlink("https://www.diodes.com/part/view/DMT6016LSS","DMT6016LSS")</f>
        <v>DMT6016LSS</v>
      </c>
      <c r="B1492" t="str">
        <f>Hyperlink("https://www.diodes.com/assets/Datasheets/DMT6016LSS.pdf","DMT6016LSS Datasheet")</f>
        <v>DMT6016LSS Datasheet</v>
      </c>
      <c r="C1492" t="s">
        <v>721</v>
      </c>
      <c r="D1492" t="s">
        <v>25</v>
      </c>
      <c r="E1492" t="s">
        <v>26</v>
      </c>
      <c r="F1492" t="s">
        <v>27</v>
      </c>
      <c r="G1492" t="s">
        <v>28</v>
      </c>
      <c r="H1492">
        <v>60</v>
      </c>
      <c r="I1492">
        <v>20</v>
      </c>
      <c r="J1492">
        <v>9.2</v>
      </c>
      <c r="L1492">
        <v>2.1</v>
      </c>
      <c r="N1492">
        <v>18</v>
      </c>
      <c r="O1492">
        <v>28</v>
      </c>
      <c r="S1492">
        <v>2.5</v>
      </c>
      <c r="T1492">
        <v>8.4</v>
      </c>
      <c r="U1492">
        <v>17</v>
      </c>
      <c r="V1492">
        <v>864</v>
      </c>
      <c r="X1492" t="s">
        <v>155</v>
      </c>
    </row>
    <row r="1493" spans="1:24">
      <c r="A1493" t="str">
        <f>Hyperlink("https://www.diodes.com/part/view/DMT6017LDV","DMT6017LDV")</f>
        <v>DMT6017LDV</v>
      </c>
      <c r="B1493" t="str">
        <f>Hyperlink("https://www.diodes.com/assets/Datasheets/DMT6017LDV.pdf","DMT6017LDV Datasheet")</f>
        <v>DMT6017LDV Datasheet</v>
      </c>
      <c r="C1493" t="s">
        <v>967</v>
      </c>
      <c r="D1493" t="s">
        <v>28</v>
      </c>
      <c r="E1493" t="s">
        <v>26</v>
      </c>
      <c r="F1493" t="s">
        <v>27</v>
      </c>
      <c r="G1493" t="s">
        <v>25</v>
      </c>
      <c r="H1493">
        <v>65</v>
      </c>
      <c r="I1493">
        <v>16</v>
      </c>
      <c r="K1493">
        <v>25.3</v>
      </c>
      <c r="L1493">
        <v>2.34</v>
      </c>
      <c r="N1493">
        <v>22</v>
      </c>
      <c r="O1493">
        <v>29</v>
      </c>
      <c r="S1493">
        <v>2.3</v>
      </c>
      <c r="T1493">
        <v>7.5</v>
      </c>
      <c r="U1493">
        <v>15.3</v>
      </c>
      <c r="V1493">
        <v>891</v>
      </c>
      <c r="W1493">
        <v>30</v>
      </c>
      <c r="X1493" t="s">
        <v>529</v>
      </c>
    </row>
    <row r="1494" spans="1:24">
      <c r="A1494" t="str">
        <f>Hyperlink("https://www.diodes.com/part/view/DMT6017LFDF","DMT6017LFDF")</f>
        <v>DMT6017LFDF</v>
      </c>
      <c r="B1494" t="str">
        <f>Hyperlink("https://www.diodes.com/assets/Datasheets/DMT6017LFDF.pdf","DMT6017LFDF Datasheet")</f>
        <v>DMT6017LFDF Datasheet</v>
      </c>
      <c r="C1494" t="s">
        <v>967</v>
      </c>
      <c r="D1494" t="s">
        <v>28</v>
      </c>
      <c r="E1494" t="s">
        <v>26</v>
      </c>
      <c r="F1494" t="s">
        <v>27</v>
      </c>
      <c r="G1494" t="s">
        <v>25</v>
      </c>
      <c r="H1494">
        <v>65</v>
      </c>
      <c r="I1494">
        <v>16</v>
      </c>
      <c r="J1494">
        <v>8.1</v>
      </c>
      <c r="L1494">
        <v>1.76</v>
      </c>
      <c r="N1494">
        <v>18</v>
      </c>
      <c r="O1494">
        <v>23</v>
      </c>
      <c r="S1494">
        <v>2.3</v>
      </c>
      <c r="T1494">
        <v>7.5</v>
      </c>
      <c r="U1494">
        <v>15.3</v>
      </c>
      <c r="V1494">
        <v>891</v>
      </c>
      <c r="W1494">
        <v>30</v>
      </c>
      <c r="X1494" t="s">
        <v>568</v>
      </c>
    </row>
    <row r="1495" spans="1:24">
      <c r="A1495" t="str">
        <f>Hyperlink("https://www.diodes.com/part/view/DMT6017LFV","DMT6017LFV")</f>
        <v>DMT6017LFV</v>
      </c>
      <c r="B1495" t="str">
        <f>Hyperlink("https://www.diodes.com/assets/Datasheets/DMT6017LFV.pdf","DMT6017LFV Datasheet")</f>
        <v>DMT6017LFV Datasheet</v>
      </c>
      <c r="C1495" t="s">
        <v>967</v>
      </c>
      <c r="D1495" t="s">
        <v>28</v>
      </c>
      <c r="E1495" t="s">
        <v>26</v>
      </c>
      <c r="F1495" t="s">
        <v>27</v>
      </c>
      <c r="G1495" t="s">
        <v>25</v>
      </c>
      <c r="H1495">
        <v>65</v>
      </c>
      <c r="I1495">
        <v>16</v>
      </c>
      <c r="K1495">
        <v>36</v>
      </c>
      <c r="L1495">
        <v>2.12</v>
      </c>
      <c r="M1495">
        <v>39.06</v>
      </c>
      <c r="N1495">
        <v>20</v>
      </c>
      <c r="O1495">
        <v>23</v>
      </c>
      <c r="S1495">
        <v>2.3</v>
      </c>
      <c r="T1495">
        <v>7.5</v>
      </c>
      <c r="U1495">
        <v>15.3</v>
      </c>
      <c r="V1495">
        <v>891</v>
      </c>
      <c r="W1495">
        <v>30</v>
      </c>
      <c r="X1495" t="s">
        <v>529</v>
      </c>
    </row>
    <row r="1496" spans="1:24">
      <c r="A1496" t="str">
        <f>Hyperlink("https://www.diodes.com/part/view/DMT6017LSS","DMT6017LSS")</f>
        <v>DMT6017LSS</v>
      </c>
      <c r="B1496" t="str">
        <f>Hyperlink("https://www.diodes.com/assets/Datasheets/DMT6017LSS.pdf","DMT6017LSS Datasheet")</f>
        <v>DMT6017LSS Datasheet</v>
      </c>
      <c r="C1496" t="s">
        <v>721</v>
      </c>
      <c r="D1496" t="s">
        <v>28</v>
      </c>
      <c r="E1496" t="s">
        <v>26</v>
      </c>
      <c r="F1496" t="s">
        <v>27</v>
      </c>
      <c r="G1496" t="s">
        <v>28</v>
      </c>
      <c r="H1496">
        <v>60</v>
      </c>
      <c r="I1496">
        <v>20</v>
      </c>
      <c r="J1496">
        <v>9.2</v>
      </c>
      <c r="L1496">
        <v>2.1</v>
      </c>
      <c r="N1496">
        <v>18</v>
      </c>
      <c r="O1496">
        <v>23</v>
      </c>
      <c r="S1496">
        <v>2.5</v>
      </c>
      <c r="T1496">
        <v>8.4</v>
      </c>
      <c r="U1496">
        <v>17</v>
      </c>
      <c r="V1496">
        <v>864</v>
      </c>
      <c r="W1496">
        <v>30</v>
      </c>
      <c r="X1496" t="s">
        <v>155</v>
      </c>
    </row>
    <row r="1497" spans="1:24">
      <c r="A1497" t="str">
        <f>Hyperlink("https://www.diodes.com/part/view/DMT6018LDR","DMT6018LDR")</f>
        <v>DMT6018LDR</v>
      </c>
      <c r="B1497" t="str">
        <f>Hyperlink("https://www.diodes.com/assets/Datasheets/DMT6018LDR.pdf","DMT6018LDR Datasheet")</f>
        <v>DMT6018LDR Datasheet</v>
      </c>
      <c r="C1497" t="s">
        <v>34</v>
      </c>
      <c r="D1497" t="s">
        <v>28</v>
      </c>
      <c r="E1497" t="s">
        <v>26</v>
      </c>
      <c r="F1497" t="s">
        <v>35</v>
      </c>
      <c r="G1497" t="s">
        <v>28</v>
      </c>
      <c r="H1497">
        <v>60</v>
      </c>
      <c r="I1497">
        <v>20</v>
      </c>
      <c r="J1497">
        <v>8.8</v>
      </c>
      <c r="K1497">
        <v>11.4</v>
      </c>
      <c r="L1497">
        <v>1.9</v>
      </c>
      <c r="M1497">
        <v>10.9</v>
      </c>
      <c r="N1497">
        <v>17</v>
      </c>
      <c r="O1497">
        <v>26</v>
      </c>
      <c r="S1497">
        <v>3</v>
      </c>
      <c r="T1497">
        <v>6.2</v>
      </c>
      <c r="U1497">
        <v>13.9</v>
      </c>
      <c r="V1497">
        <v>869</v>
      </c>
      <c r="W1497">
        <v>30</v>
      </c>
      <c r="X1497" t="s">
        <v>968</v>
      </c>
    </row>
    <row r="1498" spans="1:24">
      <c r="A1498" t="str">
        <f>Hyperlink("https://www.diodes.com/part/view/DMT6030LFCL","DMT6030LFCL")</f>
        <v>DMT6030LFCL</v>
      </c>
      <c r="B1498" t="str">
        <f>Hyperlink("https://www.diodes.com/assets/Datasheets/DMT6030LFCL.pdf","DMT6030LFCL Datasheet")</f>
        <v>DMT6030LFCL Datasheet</v>
      </c>
      <c r="C1498" t="s">
        <v>721</v>
      </c>
      <c r="D1498" t="s">
        <v>28</v>
      </c>
      <c r="E1498" t="s">
        <v>26</v>
      </c>
      <c r="F1498" t="s">
        <v>27</v>
      </c>
      <c r="G1498" t="s">
        <v>28</v>
      </c>
      <c r="H1498">
        <v>60</v>
      </c>
      <c r="I1498">
        <v>20</v>
      </c>
      <c r="J1498">
        <v>6.5</v>
      </c>
      <c r="L1498">
        <v>1.58</v>
      </c>
      <c r="N1498">
        <v>25</v>
      </c>
      <c r="O1498">
        <v>34</v>
      </c>
      <c r="S1498">
        <v>2.5</v>
      </c>
      <c r="T1498">
        <v>4.5</v>
      </c>
      <c r="U1498">
        <v>9.1</v>
      </c>
      <c r="V1498">
        <v>639</v>
      </c>
      <c r="W1498">
        <v>30</v>
      </c>
      <c r="X1498" t="s">
        <v>641</v>
      </c>
    </row>
    <row r="1499" spans="1:24">
      <c r="A1499" t="str">
        <f>Hyperlink("https://www.diodes.com/part/view/DMT6030LFDF","DMT6030LFDF")</f>
        <v>DMT6030LFDF</v>
      </c>
      <c r="B1499" t="str">
        <f>Hyperlink("https://www.diodes.com/assets/Datasheets/DMT6030LFDF.pdf","DMT6030LFDF Datasheet")</f>
        <v>DMT6030LFDF Datasheet</v>
      </c>
      <c r="C1499" t="s">
        <v>721</v>
      </c>
      <c r="D1499" t="s">
        <v>28</v>
      </c>
      <c r="E1499" t="s">
        <v>26</v>
      </c>
      <c r="F1499" t="s">
        <v>27</v>
      </c>
      <c r="G1499" t="s">
        <v>28</v>
      </c>
      <c r="H1499">
        <v>60</v>
      </c>
      <c r="I1499">
        <v>20</v>
      </c>
      <c r="J1499">
        <v>6.8</v>
      </c>
      <c r="L1499">
        <v>1.76</v>
      </c>
      <c r="M1499">
        <v>9.62</v>
      </c>
      <c r="N1499">
        <v>25.5</v>
      </c>
      <c r="O1499">
        <v>35</v>
      </c>
      <c r="S1499">
        <v>2.5</v>
      </c>
      <c r="T1499">
        <v>4.5</v>
      </c>
      <c r="U1499">
        <v>9.1</v>
      </c>
      <c r="V1499">
        <v>639</v>
      </c>
      <c r="W1499">
        <v>30</v>
      </c>
      <c r="X1499" t="s">
        <v>568</v>
      </c>
    </row>
    <row r="1500" spans="1:24">
      <c r="A1500" t="str">
        <f>Hyperlink("https://www.diodes.com/part/view/DMT615MLFV","DMT615MLFV")</f>
        <v>DMT615MLFV</v>
      </c>
      <c r="B1500" t="str">
        <f>Hyperlink("https://www.diodes.com/assets/Datasheets/DMT615MLFV.pdf","DMT615MLFV Datasheet")</f>
        <v>DMT615MLFV Datasheet</v>
      </c>
      <c r="C1500" t="s">
        <v>721</v>
      </c>
      <c r="D1500" t="s">
        <v>28</v>
      </c>
      <c r="E1500" t="s">
        <v>26</v>
      </c>
      <c r="F1500" t="s">
        <v>27</v>
      </c>
      <c r="G1500" t="s">
        <v>25</v>
      </c>
      <c r="H1500">
        <v>60</v>
      </c>
      <c r="I1500">
        <v>20</v>
      </c>
      <c r="J1500">
        <v>8.5</v>
      </c>
      <c r="K1500">
        <v>38</v>
      </c>
      <c r="L1500">
        <v>1.76</v>
      </c>
      <c r="M1500">
        <v>34.72</v>
      </c>
      <c r="N1500">
        <v>16</v>
      </c>
      <c r="O1500">
        <v>26</v>
      </c>
      <c r="S1500">
        <v>3</v>
      </c>
      <c r="T1500">
        <v>7.8</v>
      </c>
      <c r="U1500">
        <v>15.5</v>
      </c>
      <c r="V1500">
        <v>1039</v>
      </c>
      <c r="W1500">
        <v>30</v>
      </c>
      <c r="X1500" t="s">
        <v>529</v>
      </c>
    </row>
    <row r="1501" spans="1:24">
      <c r="A1501" t="str">
        <f>Hyperlink("https://www.diodes.com/part/view/DMT616MLSS","DMT616MLSS")</f>
        <v>DMT616MLSS</v>
      </c>
      <c r="B1501" t="str">
        <f>Hyperlink("https://www.diodes.com/assets/Datasheets/DMT616MLSS.pdf","DMT616MLSS Datasheet")</f>
        <v>DMT616MLSS Datasheet</v>
      </c>
      <c r="C1501" t="s">
        <v>721</v>
      </c>
      <c r="D1501" t="s">
        <v>28</v>
      </c>
      <c r="E1501" t="s">
        <v>26</v>
      </c>
      <c r="F1501" t="s">
        <v>27</v>
      </c>
      <c r="G1501" t="s">
        <v>28</v>
      </c>
      <c r="H1501">
        <v>60</v>
      </c>
      <c r="I1501">
        <v>20</v>
      </c>
      <c r="J1501">
        <v>10</v>
      </c>
      <c r="L1501">
        <v>2.06</v>
      </c>
      <c r="N1501">
        <v>14</v>
      </c>
      <c r="O1501">
        <v>21</v>
      </c>
      <c r="S1501">
        <v>2.2</v>
      </c>
      <c r="T1501">
        <v>7.3</v>
      </c>
      <c r="U1501">
        <v>13.6</v>
      </c>
      <c r="V1501">
        <v>785</v>
      </c>
      <c r="W1501">
        <v>30</v>
      </c>
      <c r="X1501" t="s">
        <v>155</v>
      </c>
    </row>
    <row r="1502" spans="1:24">
      <c r="A1502" t="str">
        <f>Hyperlink("https://www.diodes.com/part/view/DMT61M5SPSW","DMT61M5SPSW")</f>
        <v>DMT61M5SPSW</v>
      </c>
      <c r="B1502" t="str">
        <f>Hyperlink("https://www.diodes.com/assets/Datasheets/DMT61M5SPSW.pdf","DMT61M5SPSW Datasheet")</f>
        <v>DMT61M5SPSW Datasheet</v>
      </c>
      <c r="C1502" t="s">
        <v>721</v>
      </c>
      <c r="D1502" t="s">
        <v>28</v>
      </c>
      <c r="E1502" t="s">
        <v>26</v>
      </c>
      <c r="F1502" t="s">
        <v>27</v>
      </c>
      <c r="G1502" t="s">
        <v>28</v>
      </c>
      <c r="H1502">
        <v>60</v>
      </c>
      <c r="I1502">
        <v>20</v>
      </c>
      <c r="K1502">
        <v>215</v>
      </c>
      <c r="L1502">
        <v>2.7</v>
      </c>
      <c r="M1502">
        <v>139</v>
      </c>
      <c r="N1502">
        <v>1.5</v>
      </c>
      <c r="S1502">
        <v>4</v>
      </c>
      <c r="U1502">
        <v>130.6</v>
      </c>
      <c r="V1502">
        <v>8306</v>
      </c>
      <c r="W1502">
        <v>30</v>
      </c>
      <c r="X1502" t="s">
        <v>617</v>
      </c>
    </row>
    <row r="1503" spans="1:24">
      <c r="A1503" t="str">
        <f>Hyperlink("https://www.diodes.com/part/view/DMT61M8SPS","DMT61M8SPS")</f>
        <v>DMT61M8SPS</v>
      </c>
      <c r="B1503" t="str">
        <f>Hyperlink("https://www.diodes.com/assets/Datasheets/DMT61M8SPS.pdf","DMT61M8SPS Datasheet")</f>
        <v>DMT61M8SPS Datasheet</v>
      </c>
      <c r="C1503" t="s">
        <v>721</v>
      </c>
      <c r="D1503" t="s">
        <v>28</v>
      </c>
      <c r="E1503" t="s">
        <v>26</v>
      </c>
      <c r="F1503" t="s">
        <v>27</v>
      </c>
      <c r="G1503" t="s">
        <v>28</v>
      </c>
      <c r="H1503">
        <v>60</v>
      </c>
      <c r="I1503">
        <v>20</v>
      </c>
      <c r="K1503">
        <v>205</v>
      </c>
      <c r="L1503">
        <v>2.7</v>
      </c>
      <c r="M1503">
        <v>139</v>
      </c>
      <c r="N1503">
        <v>1.6</v>
      </c>
      <c r="S1503">
        <v>4</v>
      </c>
      <c r="U1503">
        <v>130.6</v>
      </c>
      <c r="V1503">
        <v>8306</v>
      </c>
      <c r="W1503">
        <v>30</v>
      </c>
      <c r="X1503" t="s">
        <v>617</v>
      </c>
    </row>
    <row r="1504" spans="1:24">
      <c r="A1504" t="str">
        <f>Hyperlink("https://www.diodes.com/part/view/DMT62M7SPSW","DMT62M7SPSW")</f>
        <v>DMT62M7SPSW</v>
      </c>
      <c r="B1504" t="str">
        <f>Hyperlink("https://www.diodes.com/assets/Datasheets/DMT62M7SPSW.pdf","DMT62M7SPSW Datasheet")</f>
        <v>DMT62M7SPSW Datasheet</v>
      </c>
      <c r="C1504" t="s">
        <v>725</v>
      </c>
      <c r="D1504" t="s">
        <v>28</v>
      </c>
      <c r="E1504" t="s">
        <v>26</v>
      </c>
      <c r="F1504" t="s">
        <v>27</v>
      </c>
      <c r="G1504" t="s">
        <v>28</v>
      </c>
      <c r="H1504">
        <v>60</v>
      </c>
      <c r="I1504">
        <v>20</v>
      </c>
      <c r="K1504">
        <v>163</v>
      </c>
      <c r="L1504">
        <v>2.5</v>
      </c>
      <c r="M1504">
        <v>125</v>
      </c>
      <c r="N1504">
        <v>2.7</v>
      </c>
      <c r="R1504">
        <v>2</v>
      </c>
      <c r="S1504">
        <v>4</v>
      </c>
      <c r="U1504">
        <v>68.7</v>
      </c>
      <c r="V1504">
        <v>4973</v>
      </c>
      <c r="W1504">
        <v>30</v>
      </c>
      <c r="X1504" t="s">
        <v>757</v>
      </c>
    </row>
    <row r="1505" spans="1:24">
      <c r="A1505" t="str">
        <f>Hyperlink("https://www.diodes.com/part/view/DMT64M1LCG","DMT64M1LCG")</f>
        <v>DMT64M1LCG</v>
      </c>
      <c r="B1505" t="str">
        <f>Hyperlink("https://www.diodes.com/assets/Datasheets/DMT64M1LCG.pdf","DMT64M1LCG Datasheet")</f>
        <v>DMT64M1LCG Datasheet</v>
      </c>
      <c r="C1505" t="s">
        <v>967</v>
      </c>
      <c r="D1505" t="s">
        <v>28</v>
      </c>
      <c r="E1505" t="s">
        <v>26</v>
      </c>
      <c r="F1505" t="s">
        <v>27</v>
      </c>
      <c r="G1505" t="s">
        <v>28</v>
      </c>
      <c r="H1505">
        <v>65</v>
      </c>
      <c r="I1505">
        <v>20</v>
      </c>
      <c r="J1505">
        <v>16.7</v>
      </c>
      <c r="K1505">
        <v>67.8</v>
      </c>
      <c r="L1505">
        <v>2.6</v>
      </c>
      <c r="N1505">
        <v>5.4</v>
      </c>
      <c r="O1505">
        <v>7.3</v>
      </c>
      <c r="S1505">
        <v>2.5</v>
      </c>
      <c r="T1505">
        <v>28.9</v>
      </c>
      <c r="U1505">
        <v>51.4</v>
      </c>
      <c r="V1505">
        <v>2626</v>
      </c>
      <c r="W1505">
        <v>30</v>
      </c>
      <c r="X1505" t="s">
        <v>824</v>
      </c>
    </row>
    <row r="1506" spans="1:24">
      <c r="A1506" t="str">
        <f>Hyperlink("https://www.diodes.com/part/view/DMT64M1LPSW","DMT64M1LPSW")</f>
        <v>DMT64M1LPSW</v>
      </c>
      <c r="B1506" t="str">
        <f>Hyperlink("https://www.diodes.com/assets/Datasheets/DMT64M1LPSW.pdf","DMT64M1LPSW Datasheet")</f>
        <v>DMT64M1LPSW Datasheet</v>
      </c>
      <c r="C1506" t="s">
        <v>967</v>
      </c>
      <c r="D1506" t="s">
        <v>28</v>
      </c>
      <c r="E1506" t="s">
        <v>26</v>
      </c>
      <c r="F1506" t="s">
        <v>27</v>
      </c>
      <c r="G1506" t="s">
        <v>28</v>
      </c>
      <c r="H1506">
        <v>65</v>
      </c>
      <c r="I1506">
        <v>20</v>
      </c>
      <c r="J1506">
        <v>21.8</v>
      </c>
      <c r="K1506">
        <v>81.7</v>
      </c>
      <c r="L1506">
        <v>3.14</v>
      </c>
      <c r="M1506">
        <v>44</v>
      </c>
      <c r="N1506">
        <v>4.4</v>
      </c>
      <c r="O1506">
        <v>6.3</v>
      </c>
      <c r="S1506">
        <v>2.5</v>
      </c>
      <c r="T1506">
        <v>28.9</v>
      </c>
      <c r="U1506">
        <v>51.4</v>
      </c>
      <c r="V1506">
        <v>2626</v>
      </c>
      <c r="W1506">
        <v>30</v>
      </c>
      <c r="X1506" t="s">
        <v>617</v>
      </c>
    </row>
    <row r="1507" spans="1:24">
      <c r="A1507" t="str">
        <f>Hyperlink("https://www.diodes.com/part/view/DMT64M2LPSW","DMT64M2LPSW")</f>
        <v>DMT64M2LPSW</v>
      </c>
      <c r="B1507" t="str">
        <f>Hyperlink("https://www.diodes.com/assets/Datasheets/DMT64M2LPSW.pdf","DMT64M2LPSW Datasheet")</f>
        <v>DMT64M2LPSW Datasheet</v>
      </c>
      <c r="C1507" t="s">
        <v>721</v>
      </c>
      <c r="D1507" t="s">
        <v>28</v>
      </c>
      <c r="E1507" t="s">
        <v>26</v>
      </c>
      <c r="F1507" t="s">
        <v>27</v>
      </c>
      <c r="G1507" t="s">
        <v>28</v>
      </c>
      <c r="H1507">
        <v>60</v>
      </c>
      <c r="I1507">
        <v>20</v>
      </c>
      <c r="J1507">
        <v>20.7</v>
      </c>
      <c r="K1507">
        <v>100</v>
      </c>
      <c r="L1507">
        <v>2.8</v>
      </c>
      <c r="M1507">
        <v>83.3</v>
      </c>
      <c r="N1507">
        <v>4.4</v>
      </c>
      <c r="O1507">
        <v>6.4</v>
      </c>
      <c r="S1507">
        <v>2.5</v>
      </c>
      <c r="T1507">
        <v>24.1</v>
      </c>
      <c r="U1507">
        <v>46.7</v>
      </c>
      <c r="V1507">
        <v>2799</v>
      </c>
      <c r="W1507">
        <v>30</v>
      </c>
      <c r="X1507" t="s">
        <v>617</v>
      </c>
    </row>
    <row r="1508" spans="1:24">
      <c r="A1508" t="str">
        <f>Hyperlink("https://www.diodes.com/part/view/DMT64M8LCG","DMT64M8LCG")</f>
        <v>DMT64M8LCG</v>
      </c>
      <c r="B1508" t="str">
        <f>Hyperlink("https://www.diodes.com/assets/Datasheets/DMT64M8LCG.pdf","DMT64M8LCG Datasheet")</f>
        <v>DMT64M8LCG Datasheet</v>
      </c>
      <c r="C1508" t="s">
        <v>721</v>
      </c>
      <c r="D1508" t="s">
        <v>28</v>
      </c>
      <c r="E1508" t="s">
        <v>26</v>
      </c>
      <c r="F1508" t="s">
        <v>27</v>
      </c>
      <c r="G1508" t="s">
        <v>25</v>
      </c>
      <c r="H1508">
        <v>60</v>
      </c>
      <c r="I1508">
        <v>20</v>
      </c>
      <c r="J1508">
        <v>16.1</v>
      </c>
      <c r="K1508">
        <v>77.8</v>
      </c>
      <c r="L1508">
        <v>2.16</v>
      </c>
      <c r="N1508">
        <v>4.8</v>
      </c>
      <c r="O1508">
        <v>6.5</v>
      </c>
      <c r="S1508">
        <v>2.4</v>
      </c>
      <c r="T1508">
        <v>26.1</v>
      </c>
      <c r="U1508">
        <v>47.5</v>
      </c>
      <c r="V1508">
        <v>2664</v>
      </c>
      <c r="W1508">
        <v>30</v>
      </c>
      <c r="X1508" t="s">
        <v>824</v>
      </c>
    </row>
    <row r="1509" spans="1:24">
      <c r="A1509" t="str">
        <f>Hyperlink("https://www.diodes.com/part/view/DMT64M8LSS","DMT64M8LSS")</f>
        <v>DMT64M8LSS</v>
      </c>
      <c r="B1509" t="str">
        <f>Hyperlink("https://www.diodes.com/assets/Datasheets/DMT64M8LSS.pdf","DMT64M8LSS Datasheet")</f>
        <v>DMT64M8LSS Datasheet</v>
      </c>
      <c r="C1509" t="s">
        <v>721</v>
      </c>
      <c r="D1509" t="s">
        <v>28</v>
      </c>
      <c r="E1509" t="s">
        <v>26</v>
      </c>
      <c r="F1509" t="s">
        <v>27</v>
      </c>
      <c r="G1509" t="s">
        <v>25</v>
      </c>
      <c r="H1509">
        <v>60</v>
      </c>
      <c r="I1509">
        <v>20</v>
      </c>
      <c r="J1509">
        <v>17</v>
      </c>
      <c r="L1509">
        <v>2.2</v>
      </c>
      <c r="N1509">
        <v>5</v>
      </c>
      <c r="O1509">
        <v>6.9</v>
      </c>
      <c r="S1509">
        <v>2.3</v>
      </c>
      <c r="T1509">
        <v>26.1</v>
      </c>
      <c r="U1509">
        <v>47.5</v>
      </c>
      <c r="V1509">
        <v>2664</v>
      </c>
      <c r="W1509">
        <v>30</v>
      </c>
      <c r="X1509" t="s">
        <v>155</v>
      </c>
    </row>
    <row r="1510" spans="1:24">
      <c r="A1510" t="str">
        <f>Hyperlink("https://www.diodes.com/part/view/DMT67M8LCG","DMT67M8LCG")</f>
        <v>DMT67M8LCG</v>
      </c>
      <c r="B1510" t="str">
        <f>Hyperlink("https://www.diodes.com/assets/Datasheets/DMT67M8LCG.pdf","DMT67M8LCG Datasheet")</f>
        <v>DMT67M8LCG Datasheet</v>
      </c>
      <c r="C1510" t="s">
        <v>721</v>
      </c>
      <c r="D1510" t="s">
        <v>25</v>
      </c>
      <c r="E1510" t="s">
        <v>26</v>
      </c>
      <c r="F1510" t="s">
        <v>27</v>
      </c>
      <c r="G1510" t="s">
        <v>25</v>
      </c>
      <c r="H1510">
        <v>60</v>
      </c>
      <c r="I1510">
        <v>20</v>
      </c>
      <c r="J1510">
        <v>16</v>
      </c>
      <c r="K1510">
        <v>64.6</v>
      </c>
      <c r="L1510">
        <v>2.2</v>
      </c>
      <c r="N1510">
        <v>5.7</v>
      </c>
      <c r="O1510">
        <v>8.1</v>
      </c>
      <c r="S1510">
        <v>2.5</v>
      </c>
      <c r="T1510">
        <v>20</v>
      </c>
      <c r="U1510">
        <v>37.5</v>
      </c>
      <c r="V1510">
        <v>2130</v>
      </c>
      <c r="W1510">
        <v>30</v>
      </c>
      <c r="X1510" t="s">
        <v>824</v>
      </c>
    </row>
    <row r="1511" spans="1:24">
      <c r="A1511" t="str">
        <f>Hyperlink("https://www.diodes.com/part/view/DMT67M8LCGQ","DMT67M8LCGQ")</f>
        <v>DMT67M8LCGQ</v>
      </c>
      <c r="B1511" t="str">
        <f>Hyperlink("https://www.diodes.com/assets/Datasheets/DMT67M8LCGQ.pdf","DMT67M8LCGQ Datasheet")</f>
        <v>DMT67M8LCGQ Datasheet</v>
      </c>
      <c r="C1511" t="s">
        <v>721</v>
      </c>
      <c r="D1511" t="s">
        <v>25</v>
      </c>
      <c r="E1511" t="s">
        <v>33</v>
      </c>
      <c r="F1511" t="s">
        <v>27</v>
      </c>
      <c r="G1511" t="s">
        <v>25</v>
      </c>
      <c r="H1511">
        <v>60</v>
      </c>
      <c r="I1511">
        <v>20</v>
      </c>
      <c r="J1511">
        <v>16</v>
      </c>
      <c r="K1511">
        <v>64.6</v>
      </c>
      <c r="L1511">
        <v>2.2</v>
      </c>
      <c r="N1511">
        <v>5.7</v>
      </c>
      <c r="O1511">
        <v>8.1</v>
      </c>
      <c r="S1511">
        <v>2.5</v>
      </c>
      <c r="T1511">
        <v>20</v>
      </c>
      <c r="U1511">
        <v>37.5</v>
      </c>
      <c r="V1511">
        <v>2130</v>
      </c>
      <c r="W1511">
        <v>30</v>
      </c>
      <c r="X1511" t="s">
        <v>824</v>
      </c>
    </row>
    <row r="1512" spans="1:24">
      <c r="A1512" t="str">
        <f>Hyperlink("https://www.diodes.com/part/view/DMT67M8LK3","DMT67M8LK3")</f>
        <v>DMT67M8LK3</v>
      </c>
      <c r="B1512" t="str">
        <f>Hyperlink("https://www.diodes.com/assets/Datasheets/DMT67M8LK3.pdf","DMT67M8LK3 Datasheet")</f>
        <v>DMT67M8LK3 Datasheet</v>
      </c>
      <c r="C1512" t="s">
        <v>721</v>
      </c>
      <c r="D1512" t="s">
        <v>28</v>
      </c>
      <c r="E1512" t="s">
        <v>26</v>
      </c>
      <c r="F1512" t="s">
        <v>27</v>
      </c>
      <c r="G1512" t="s">
        <v>25</v>
      </c>
      <c r="H1512">
        <v>60</v>
      </c>
      <c r="I1512">
        <v>20</v>
      </c>
      <c r="K1512">
        <v>87</v>
      </c>
      <c r="L1512">
        <v>3.1</v>
      </c>
      <c r="M1512">
        <v>87</v>
      </c>
      <c r="N1512">
        <v>7</v>
      </c>
      <c r="O1512">
        <v>10</v>
      </c>
      <c r="S1512">
        <v>2.5</v>
      </c>
      <c r="T1512">
        <v>20</v>
      </c>
      <c r="U1512">
        <v>37.5</v>
      </c>
      <c r="V1512">
        <v>2130</v>
      </c>
      <c r="W1512">
        <v>30</v>
      </c>
      <c r="X1512" t="s">
        <v>507</v>
      </c>
    </row>
    <row r="1513" spans="1:24">
      <c r="A1513" t="str">
        <f>Hyperlink("https://www.diodes.com/part/view/DMT67M8LPSW","DMT67M8LPSW")</f>
        <v>DMT67M8LPSW</v>
      </c>
      <c r="B1513" t="str">
        <f>Hyperlink("https://www.diodes.com/assets/Datasheets/DMT67M8LPSW.pdf","DMT67M8LPSW Datasheet")</f>
        <v>DMT67M8LPSW Datasheet</v>
      </c>
      <c r="C1513" t="s">
        <v>721</v>
      </c>
      <c r="D1513" t="s">
        <v>28</v>
      </c>
      <c r="E1513" t="s">
        <v>26</v>
      </c>
      <c r="F1513" t="s">
        <v>27</v>
      </c>
      <c r="G1513" t="s">
        <v>25</v>
      </c>
      <c r="H1513">
        <v>60</v>
      </c>
      <c r="I1513">
        <v>20</v>
      </c>
      <c r="J1513">
        <v>17.3</v>
      </c>
      <c r="K1513">
        <v>82</v>
      </c>
      <c r="L1513">
        <v>2.8</v>
      </c>
      <c r="M1513">
        <v>62.5</v>
      </c>
      <c r="N1513">
        <v>6.2</v>
      </c>
      <c r="O1513">
        <v>8.5</v>
      </c>
      <c r="S1513">
        <v>2.5</v>
      </c>
      <c r="T1513">
        <v>20</v>
      </c>
      <c r="U1513">
        <v>37.5</v>
      </c>
      <c r="V1513">
        <v>2130</v>
      </c>
      <c r="W1513">
        <v>30</v>
      </c>
      <c r="X1513" t="s">
        <v>617</v>
      </c>
    </row>
    <row r="1514" spans="1:24">
      <c r="A1514" t="str">
        <f>Hyperlink("https://www.diodes.com/part/view/DMT67M8LSS","DMT67M8LSS")</f>
        <v>DMT67M8LSS</v>
      </c>
      <c r="B1514" t="str">
        <f>Hyperlink("https://www.diodes.com/assets/Datasheets/DMT67M8LSS.pdf","DMT67M8LSS Datasheet")</f>
        <v>DMT67M8LSS Datasheet</v>
      </c>
      <c r="C1514" t="s">
        <v>721</v>
      </c>
      <c r="D1514" t="s">
        <v>28</v>
      </c>
      <c r="E1514" t="s">
        <v>26</v>
      </c>
      <c r="F1514" t="s">
        <v>27</v>
      </c>
      <c r="G1514" t="s">
        <v>25</v>
      </c>
      <c r="H1514">
        <v>60</v>
      </c>
      <c r="I1514">
        <v>20</v>
      </c>
      <c r="J1514">
        <v>14.8</v>
      </c>
      <c r="L1514">
        <v>2.2</v>
      </c>
      <c r="N1514">
        <v>6.6</v>
      </c>
      <c r="O1514">
        <v>8.4</v>
      </c>
      <c r="S1514">
        <v>3</v>
      </c>
      <c r="T1514">
        <v>20</v>
      </c>
      <c r="V1514">
        <v>2130</v>
      </c>
      <c r="W1514">
        <v>30</v>
      </c>
      <c r="X1514" t="s">
        <v>155</v>
      </c>
    </row>
    <row r="1515" spans="1:24">
      <c r="A1515" t="str">
        <f>Hyperlink("https://www.diodes.com/part/view/DMT68M8LFV","DMT68M8LFV")</f>
        <v>DMT68M8LFV</v>
      </c>
      <c r="B1515" t="str">
        <f>Hyperlink("https://www.diodes.com/assets/Datasheets/DMT68M8LFV.pdf","DMT68M8LFV Datasheet")</f>
        <v>DMT68M8LFV Datasheet</v>
      </c>
      <c r="C1515" t="s">
        <v>721</v>
      </c>
      <c r="D1515" t="s">
        <v>28</v>
      </c>
      <c r="E1515" t="s">
        <v>26</v>
      </c>
      <c r="F1515" t="s">
        <v>27</v>
      </c>
      <c r="G1515" t="s">
        <v>25</v>
      </c>
      <c r="H1515">
        <v>60</v>
      </c>
      <c r="I1515">
        <v>20</v>
      </c>
      <c r="K1515">
        <v>54.1</v>
      </c>
      <c r="L1515">
        <v>2.7</v>
      </c>
      <c r="M1515">
        <v>41.7</v>
      </c>
      <c r="N1515">
        <v>9.5</v>
      </c>
      <c r="O1515">
        <v>13.3</v>
      </c>
      <c r="S1515">
        <v>3</v>
      </c>
      <c r="T1515">
        <v>14.4</v>
      </c>
      <c r="U1515">
        <v>30</v>
      </c>
      <c r="V1515">
        <v>2078</v>
      </c>
      <c r="W1515">
        <v>30</v>
      </c>
      <c r="X1515" t="s">
        <v>529</v>
      </c>
    </row>
    <row r="1516" spans="1:24">
      <c r="A1516" t="str">
        <f>Hyperlink("https://www.diodes.com/part/view/DMT68M8LPS","DMT68M8LPS")</f>
        <v>DMT68M8LPS</v>
      </c>
      <c r="B1516" t="str">
        <f>Hyperlink("https://www.diodes.com/assets/Datasheets/DMT68M8LPS.pdf","DMT68M8LPS Datasheet")</f>
        <v>DMT68M8LPS Datasheet</v>
      </c>
      <c r="C1516" t="s">
        <v>721</v>
      </c>
      <c r="D1516" t="s">
        <v>28</v>
      </c>
      <c r="E1516" t="s">
        <v>26</v>
      </c>
      <c r="F1516" t="s">
        <v>27</v>
      </c>
      <c r="G1516" t="s">
        <v>25</v>
      </c>
      <c r="H1516">
        <v>60</v>
      </c>
      <c r="I1516">
        <v>20</v>
      </c>
      <c r="J1516">
        <v>14.1</v>
      </c>
      <c r="K1516">
        <v>69.2</v>
      </c>
      <c r="L1516">
        <v>2.4</v>
      </c>
      <c r="M1516">
        <v>56.8</v>
      </c>
      <c r="N1516">
        <v>7.9</v>
      </c>
      <c r="O1516">
        <v>10.8</v>
      </c>
      <c r="S1516">
        <v>3</v>
      </c>
      <c r="T1516">
        <v>14.4</v>
      </c>
      <c r="U1516">
        <v>30</v>
      </c>
      <c r="V1516">
        <v>2078</v>
      </c>
      <c r="W1516">
        <v>30</v>
      </c>
      <c r="X1516" t="s">
        <v>617</v>
      </c>
    </row>
    <row r="1517" spans="1:24">
      <c r="A1517" t="str">
        <f>Hyperlink("https://www.diodes.com/part/view/DMT68M8LSS","DMT68M8LSS")</f>
        <v>DMT68M8LSS</v>
      </c>
      <c r="B1517" t="str">
        <f>Hyperlink("https://www.diodes.com/assets/Datasheets/DMT68M8LSS.pdf","DMT68M8LSS Datasheet")</f>
        <v>DMT68M8LSS Datasheet</v>
      </c>
      <c r="C1517" t="s">
        <v>721</v>
      </c>
      <c r="D1517" t="s">
        <v>28</v>
      </c>
      <c r="E1517" t="s">
        <v>26</v>
      </c>
      <c r="F1517" t="s">
        <v>27</v>
      </c>
      <c r="G1517" t="s">
        <v>25</v>
      </c>
      <c r="H1517">
        <v>60</v>
      </c>
      <c r="I1517">
        <v>20</v>
      </c>
      <c r="J1517">
        <v>12.1</v>
      </c>
      <c r="K1517">
        <v>28.9</v>
      </c>
      <c r="L1517">
        <v>1.9</v>
      </c>
      <c r="M1517">
        <v>10.68</v>
      </c>
      <c r="N1517">
        <v>8.5</v>
      </c>
      <c r="O1517">
        <v>12</v>
      </c>
      <c r="S1517">
        <v>3</v>
      </c>
      <c r="T1517">
        <v>15.6</v>
      </c>
      <c r="U1517">
        <v>31.8</v>
      </c>
      <c r="V1517">
        <v>2017</v>
      </c>
      <c r="W1517">
        <v>30</v>
      </c>
      <c r="X1517" t="s">
        <v>155</v>
      </c>
    </row>
    <row r="1518" spans="1:24">
      <c r="A1518" t="str">
        <f>Hyperlink("https://www.diodes.com/part/view/DMT69M5LCG","DMT69M5LCG")</f>
        <v>DMT69M5LCG</v>
      </c>
      <c r="B1518" t="str">
        <f>Hyperlink("https://www.diodes.com/assets/Datasheets/DMT69M5LCG.pdf","DMT69M5LCG Datasheet")</f>
        <v>DMT69M5LCG Datasheet</v>
      </c>
      <c r="C1518" t="s">
        <v>721</v>
      </c>
      <c r="D1518" t="s">
        <v>28</v>
      </c>
      <c r="E1518" t="s">
        <v>26</v>
      </c>
      <c r="F1518" t="s">
        <v>27</v>
      </c>
      <c r="G1518" t="s">
        <v>28</v>
      </c>
      <c r="H1518">
        <v>60</v>
      </c>
      <c r="I1518">
        <v>20</v>
      </c>
      <c r="J1518">
        <v>14.6</v>
      </c>
      <c r="K1518">
        <v>52.1</v>
      </c>
      <c r="L1518">
        <v>2.64</v>
      </c>
      <c r="N1518">
        <v>8.3</v>
      </c>
      <c r="O1518" t="s">
        <v>969</v>
      </c>
      <c r="S1518">
        <v>2.5</v>
      </c>
      <c r="T1518">
        <v>15.4</v>
      </c>
      <c r="U1518">
        <v>28.4</v>
      </c>
      <c r="V1518">
        <v>1406</v>
      </c>
      <c r="W1518">
        <v>30</v>
      </c>
      <c r="X1518" t="s">
        <v>824</v>
      </c>
    </row>
    <row r="1519" spans="1:24">
      <c r="A1519" t="str">
        <f>Hyperlink("https://www.diodes.com/part/view/DMT69M5LFVW","DMT69M5LFVW")</f>
        <v>DMT69M5LFVW</v>
      </c>
      <c r="B1519" t="str">
        <f>Hyperlink("https://www.diodes.com/assets/Datasheets/DMT69M5LFVW.pdf","DMT69M5LFVW Datasheet")</f>
        <v>DMT69M5LFVW Datasheet</v>
      </c>
      <c r="C1519" t="s">
        <v>721</v>
      </c>
      <c r="D1519" t="s">
        <v>25</v>
      </c>
      <c r="E1519" t="s">
        <v>26</v>
      </c>
      <c r="F1519" t="s">
        <v>27</v>
      </c>
      <c r="G1519" t="s">
        <v>28</v>
      </c>
      <c r="H1519">
        <v>60</v>
      </c>
      <c r="I1519">
        <v>20</v>
      </c>
      <c r="J1519">
        <v>14.8</v>
      </c>
      <c r="K1519">
        <v>40.6</v>
      </c>
      <c r="L1519">
        <v>2.74</v>
      </c>
      <c r="M1519">
        <v>20.5</v>
      </c>
      <c r="N1519">
        <v>8.3</v>
      </c>
      <c r="O1519">
        <v>12.5</v>
      </c>
      <c r="S1519">
        <v>2.5</v>
      </c>
      <c r="T1519">
        <v>15.4</v>
      </c>
      <c r="U1519">
        <v>28.4</v>
      </c>
      <c r="V1519">
        <v>1406</v>
      </c>
      <c r="W1519">
        <v>30</v>
      </c>
      <c r="X1519" t="s">
        <v>529</v>
      </c>
    </row>
    <row r="1520" spans="1:24">
      <c r="A1520" t="str">
        <f>Hyperlink("https://www.diodes.com/part/view/DMT69M5LFVWQ","DMT69M5LFVWQ")</f>
        <v>DMT69M5LFVWQ</v>
      </c>
      <c r="B1520" t="str">
        <f>Hyperlink("https://www.diodes.com/assets/Datasheets/DMT69M5LFVWQ.pdf","DMT69M5LFVWQ Datasheet")</f>
        <v>DMT69M5LFVWQ Datasheet</v>
      </c>
      <c r="C1520" t="s">
        <v>721</v>
      </c>
      <c r="D1520" t="s">
        <v>25</v>
      </c>
      <c r="E1520" t="s">
        <v>33</v>
      </c>
      <c r="F1520" t="s">
        <v>27</v>
      </c>
      <c r="G1520" t="s">
        <v>28</v>
      </c>
      <c r="H1520">
        <v>60</v>
      </c>
      <c r="I1520">
        <v>20</v>
      </c>
      <c r="J1520">
        <v>14.8</v>
      </c>
      <c r="K1520">
        <v>40.6</v>
      </c>
      <c r="L1520">
        <v>2.74</v>
      </c>
      <c r="M1520">
        <v>20.5</v>
      </c>
      <c r="N1520">
        <v>8.3</v>
      </c>
      <c r="O1520">
        <v>12.5</v>
      </c>
      <c r="S1520">
        <v>2.5</v>
      </c>
      <c r="T1520">
        <v>15.4</v>
      </c>
      <c r="U1520">
        <v>28.4</v>
      </c>
      <c r="V1520">
        <v>1406</v>
      </c>
      <c r="W1520">
        <v>30</v>
      </c>
      <c r="X1520" t="s">
        <v>655</v>
      </c>
    </row>
    <row r="1521" spans="1:24">
      <c r="A1521" t="str">
        <f>Hyperlink("https://www.diodes.com/part/view/DMT69M5LH3","DMT69M5LH3")</f>
        <v>DMT69M5LH3</v>
      </c>
      <c r="B1521" t="str">
        <f>Hyperlink("https://www.diodes.com/assets/Datasheets/DMT69M5LH3.pdf","DMT69M5LH3 Datasheet")</f>
        <v>DMT69M5LH3 Datasheet</v>
      </c>
      <c r="C1521" t="s">
        <v>721</v>
      </c>
      <c r="D1521" t="s">
        <v>28</v>
      </c>
      <c r="E1521" t="s">
        <v>26</v>
      </c>
      <c r="F1521" t="s">
        <v>27</v>
      </c>
      <c r="G1521" t="s">
        <v>28</v>
      </c>
      <c r="H1521">
        <v>60</v>
      </c>
      <c r="I1521">
        <v>20</v>
      </c>
      <c r="K1521">
        <v>75</v>
      </c>
      <c r="L1521">
        <v>3.3</v>
      </c>
      <c r="M1521">
        <v>96</v>
      </c>
      <c r="N1521">
        <v>10.5</v>
      </c>
      <c r="O1521">
        <v>15</v>
      </c>
      <c r="S1521">
        <v>2.5</v>
      </c>
      <c r="T1521">
        <v>15.4</v>
      </c>
      <c r="U1521">
        <v>28.4</v>
      </c>
      <c r="V1521">
        <v>1406</v>
      </c>
      <c r="W1521">
        <v>30</v>
      </c>
      <c r="X1521" t="s">
        <v>902</v>
      </c>
    </row>
    <row r="1522" spans="1:24">
      <c r="A1522" t="str">
        <f>Hyperlink("https://www.diodes.com/part/view/DMT69M8LFV","DMT69M8LFV")</f>
        <v>DMT69M8LFV</v>
      </c>
      <c r="B1522" t="str">
        <f>Hyperlink("https://www.diodes.com/assets/Datasheets/DMT69M8LFV.pdf","DMT69M8LFV Datasheet")</f>
        <v>DMT69M8LFV Datasheet</v>
      </c>
      <c r="C1522" t="s">
        <v>721</v>
      </c>
      <c r="D1522" t="s">
        <v>28</v>
      </c>
      <c r="E1522" t="s">
        <v>26</v>
      </c>
      <c r="F1522" t="s">
        <v>27</v>
      </c>
      <c r="G1522" t="s">
        <v>28</v>
      </c>
      <c r="H1522">
        <v>60</v>
      </c>
      <c r="I1522">
        <v>16</v>
      </c>
      <c r="J1522">
        <v>11</v>
      </c>
      <c r="K1522">
        <v>45</v>
      </c>
      <c r="L1522">
        <v>2.2</v>
      </c>
      <c r="M1522">
        <v>42</v>
      </c>
      <c r="N1522">
        <v>9.5</v>
      </c>
      <c r="O1522">
        <v>13.3</v>
      </c>
      <c r="S1522">
        <v>3</v>
      </c>
      <c r="T1522">
        <v>15.6</v>
      </c>
      <c r="U1522">
        <v>33.5</v>
      </c>
      <c r="V1522">
        <v>1925</v>
      </c>
      <c r="W1522">
        <v>30</v>
      </c>
      <c r="X1522" t="s">
        <v>570</v>
      </c>
    </row>
    <row r="1523" spans="1:24">
      <c r="A1523" t="str">
        <f>Hyperlink("https://www.diodes.com/part/view/DMT69M9LPDW","DMT69M9LPDW")</f>
        <v>DMT69M9LPDW</v>
      </c>
      <c r="B1523" t="str">
        <f>Hyperlink("https://www.diodes.com/assets/Datasheets/DMT69M9LPDW.pdf","DMT69M9LPDW Datasheet")</f>
        <v>DMT69M9LPDW Datasheet</v>
      </c>
      <c r="C1523" t="s">
        <v>970</v>
      </c>
      <c r="D1523" t="s">
        <v>28</v>
      </c>
      <c r="E1523" t="s">
        <v>26</v>
      </c>
      <c r="F1523" t="s">
        <v>35</v>
      </c>
      <c r="G1523" t="s">
        <v>28</v>
      </c>
      <c r="H1523">
        <v>60</v>
      </c>
      <c r="I1523">
        <v>16</v>
      </c>
      <c r="J1523">
        <v>11</v>
      </c>
      <c r="L1523">
        <v>2.5</v>
      </c>
      <c r="N1523">
        <v>12.5</v>
      </c>
      <c r="O1523">
        <v>16.8</v>
      </c>
      <c r="S1523">
        <v>2</v>
      </c>
      <c r="T1523">
        <v>15.6</v>
      </c>
      <c r="U1523">
        <v>33.5</v>
      </c>
      <c r="X1523" t="s">
        <v>617</v>
      </c>
    </row>
    <row r="1524" spans="1:24">
      <c r="A1524" t="str">
        <f>Hyperlink("https://www.diodes.com/part/view/DMT8007LPSW","DMT8007LPSW")</f>
        <v>DMT8007LPSW</v>
      </c>
      <c r="B1524" t="str">
        <f>Hyperlink("https://www.diodes.com/assets/Datasheets/DMT8007LPSW.pdf","DMT8007LPSW Datasheet")</f>
        <v>DMT8007LPSW Datasheet</v>
      </c>
      <c r="C1524" t="s">
        <v>971</v>
      </c>
      <c r="D1524" t="s">
        <v>25</v>
      </c>
      <c r="E1524" t="s">
        <v>26</v>
      </c>
      <c r="F1524" t="s">
        <v>27</v>
      </c>
      <c r="G1524" t="s">
        <v>28</v>
      </c>
      <c r="H1524">
        <v>80</v>
      </c>
      <c r="I1524">
        <v>20</v>
      </c>
      <c r="J1524">
        <v>100</v>
      </c>
      <c r="L1524">
        <v>3.3</v>
      </c>
      <c r="M1524">
        <v>104</v>
      </c>
      <c r="N1524">
        <v>6.5</v>
      </c>
      <c r="O1524">
        <v>9.5</v>
      </c>
      <c r="R1524">
        <v>1.3</v>
      </c>
      <c r="S1524">
        <v>2.8</v>
      </c>
      <c r="T1524">
        <v>22.8</v>
      </c>
      <c r="U1524">
        <v>45.3</v>
      </c>
      <c r="V1524">
        <v>2682</v>
      </c>
      <c r="W1524">
        <v>40</v>
      </c>
      <c r="X1524" t="s">
        <v>617</v>
      </c>
    </row>
    <row r="1525" spans="1:24">
      <c r="A1525" t="str">
        <f>Hyperlink("https://www.diodes.com/part/view/DMT8008LFG","DMT8008LFG")</f>
        <v>DMT8008LFG</v>
      </c>
      <c r="B1525" t="str">
        <f>Hyperlink("https://www.diodes.com/assets/Datasheets/DMT8008LFG.pdf","DMT8008LFG Datasheet")</f>
        <v>DMT8008LFG Datasheet</v>
      </c>
      <c r="C1525" t="s">
        <v>972</v>
      </c>
      <c r="D1525" t="s">
        <v>28</v>
      </c>
      <c r="E1525" t="s">
        <v>26</v>
      </c>
      <c r="F1525" t="s">
        <v>27</v>
      </c>
      <c r="G1525" t="s">
        <v>28</v>
      </c>
      <c r="H1525">
        <v>80</v>
      </c>
      <c r="I1525">
        <v>20</v>
      </c>
      <c r="J1525">
        <v>16</v>
      </c>
      <c r="K1525">
        <v>48</v>
      </c>
      <c r="L1525">
        <v>2.5</v>
      </c>
      <c r="M1525">
        <v>23.5</v>
      </c>
      <c r="N1525">
        <v>6.9</v>
      </c>
      <c r="O1525">
        <v>10.4</v>
      </c>
      <c r="S1525">
        <v>2.5</v>
      </c>
      <c r="T1525">
        <v>18.3</v>
      </c>
      <c r="U1525">
        <v>37.7</v>
      </c>
      <c r="V1525">
        <v>2254</v>
      </c>
      <c r="W1525">
        <v>40</v>
      </c>
      <c r="X1525" t="s">
        <v>529</v>
      </c>
    </row>
    <row r="1526" spans="1:24">
      <c r="A1526" t="str">
        <f>Hyperlink("https://www.diodes.com/part/view/DMT8008LK3","DMT8008LK3")</f>
        <v>DMT8008LK3</v>
      </c>
      <c r="B1526" t="str">
        <f>Hyperlink("https://www.diodes.com/assets/Datasheets/DMT8008LK3.pdf","DMT8008LK3 Datasheet")</f>
        <v>DMT8008LK3 Datasheet</v>
      </c>
      <c r="C1526" t="s">
        <v>972</v>
      </c>
      <c r="D1526" t="s">
        <v>28</v>
      </c>
      <c r="E1526" t="s">
        <v>26</v>
      </c>
      <c r="F1526" t="s">
        <v>27</v>
      </c>
      <c r="G1526" t="s">
        <v>28</v>
      </c>
      <c r="H1526">
        <v>80</v>
      </c>
      <c r="I1526">
        <v>20</v>
      </c>
      <c r="K1526">
        <v>95</v>
      </c>
      <c r="L1526">
        <v>3</v>
      </c>
      <c r="N1526">
        <v>7</v>
      </c>
      <c r="O1526">
        <v>11</v>
      </c>
      <c r="S1526">
        <v>2.8</v>
      </c>
      <c r="T1526">
        <v>21.7</v>
      </c>
      <c r="U1526">
        <v>41.5</v>
      </c>
      <c r="V1526">
        <v>2345</v>
      </c>
      <c r="W1526">
        <v>40</v>
      </c>
      <c r="X1526" t="s">
        <v>856</v>
      </c>
    </row>
    <row r="1527" spans="1:24">
      <c r="A1527" t="str">
        <f>Hyperlink("https://www.diodes.com/part/view/DMT8008LPS","DMT8008LPS")</f>
        <v>DMT8008LPS</v>
      </c>
      <c r="B1527" t="str">
        <f>Hyperlink("https://www.diodes.com/assets/Datasheets/DMT8008LPS.pdf","DMT8008LPS Datasheet")</f>
        <v>DMT8008LPS Datasheet</v>
      </c>
      <c r="C1527" t="s">
        <v>972</v>
      </c>
      <c r="D1527" t="s">
        <v>28</v>
      </c>
      <c r="E1527" t="s">
        <v>26</v>
      </c>
      <c r="F1527" t="s">
        <v>27</v>
      </c>
      <c r="G1527" t="s">
        <v>28</v>
      </c>
      <c r="H1527">
        <v>80</v>
      </c>
      <c r="I1527">
        <v>20</v>
      </c>
      <c r="K1527">
        <v>83</v>
      </c>
      <c r="L1527">
        <v>2.8</v>
      </c>
      <c r="M1527">
        <v>83</v>
      </c>
      <c r="N1527">
        <v>7.8</v>
      </c>
      <c r="O1527">
        <v>11</v>
      </c>
      <c r="S1527">
        <v>2.8</v>
      </c>
      <c r="T1527">
        <v>21.7</v>
      </c>
      <c r="U1527">
        <v>41.2</v>
      </c>
      <c r="V1527">
        <v>2345</v>
      </c>
      <c r="W1527">
        <v>40</v>
      </c>
      <c r="X1527" t="s">
        <v>617</v>
      </c>
    </row>
    <row r="1528" spans="1:24">
      <c r="A1528" t="str">
        <f>Hyperlink("https://www.diodes.com/part/view/DMT8008LSS","DMT8008LSS")</f>
        <v>DMT8008LSS</v>
      </c>
      <c r="B1528" t="str">
        <f>Hyperlink("https://www.diodes.com/assets/Datasheets/DMT8008LSS.pdf","DMT8008LSS Datasheet")</f>
        <v>DMT8008LSS Datasheet</v>
      </c>
      <c r="C1528" t="s">
        <v>972</v>
      </c>
      <c r="D1528" t="s">
        <v>28</v>
      </c>
      <c r="E1528" t="s">
        <v>26</v>
      </c>
      <c r="F1528" t="s">
        <v>27</v>
      </c>
      <c r="G1528" t="s">
        <v>28</v>
      </c>
      <c r="H1528">
        <v>80</v>
      </c>
      <c r="I1528">
        <v>20</v>
      </c>
      <c r="J1528">
        <v>13</v>
      </c>
      <c r="K1528">
        <v>32</v>
      </c>
      <c r="L1528">
        <v>2.2</v>
      </c>
      <c r="N1528">
        <v>8</v>
      </c>
      <c r="O1528">
        <v>12</v>
      </c>
      <c r="S1528">
        <v>2.8</v>
      </c>
      <c r="T1528">
        <v>24</v>
      </c>
      <c r="U1528">
        <v>47</v>
      </c>
      <c r="V1528">
        <v>2840</v>
      </c>
      <c r="W1528">
        <v>40</v>
      </c>
      <c r="X1528" t="s">
        <v>155</v>
      </c>
    </row>
    <row r="1529" spans="1:24">
      <c r="A1529" t="str">
        <f>Hyperlink("https://www.diodes.com/part/view/DMT8008SCT","DMT8008SCT")</f>
        <v>DMT8008SCT</v>
      </c>
      <c r="B1529" t="str">
        <f>Hyperlink("https://www.diodes.com/assets/Datasheets/DMT8008SCT.pdf","DMT8008SCT Datasheet")</f>
        <v>DMT8008SCT Datasheet</v>
      </c>
      <c r="C1529" t="s">
        <v>972</v>
      </c>
      <c r="D1529" t="s">
        <v>28</v>
      </c>
      <c r="E1529" t="s">
        <v>26</v>
      </c>
      <c r="F1529" t="s">
        <v>27</v>
      </c>
      <c r="G1529" t="s">
        <v>28</v>
      </c>
      <c r="H1529">
        <v>80</v>
      </c>
      <c r="I1529">
        <v>20</v>
      </c>
      <c r="K1529">
        <v>111</v>
      </c>
      <c r="L1529">
        <v>2.4</v>
      </c>
      <c r="M1529">
        <v>167</v>
      </c>
      <c r="N1529">
        <v>7.5</v>
      </c>
      <c r="S1529">
        <v>4</v>
      </c>
      <c r="U1529">
        <v>34</v>
      </c>
      <c r="V1529">
        <v>1950</v>
      </c>
      <c r="W1529">
        <v>40</v>
      </c>
      <c r="X1529" t="s">
        <v>753</v>
      </c>
    </row>
    <row r="1530" spans="1:24">
      <c r="A1530" t="str">
        <f>Hyperlink("https://www.diodes.com/part/view/DMT8008SK3","DMT8008SK3")</f>
        <v>DMT8008SK3</v>
      </c>
      <c r="B1530" t="str">
        <f>Hyperlink("https://www.diodes.com/assets/Datasheets/DMT8008SK3.pdf","DMT8008SK3 Datasheet")</f>
        <v>DMT8008SK3 Datasheet</v>
      </c>
      <c r="C1530" t="s">
        <v>972</v>
      </c>
      <c r="D1530" t="s">
        <v>28</v>
      </c>
      <c r="E1530" t="s">
        <v>26</v>
      </c>
      <c r="F1530" t="s">
        <v>27</v>
      </c>
      <c r="G1530" t="s">
        <v>28</v>
      </c>
      <c r="H1530">
        <v>80</v>
      </c>
      <c r="I1530">
        <v>20</v>
      </c>
      <c r="K1530">
        <v>90</v>
      </c>
      <c r="L1530">
        <v>3</v>
      </c>
      <c r="N1530">
        <v>7.8</v>
      </c>
      <c r="S1530">
        <v>4</v>
      </c>
      <c r="U1530">
        <v>34</v>
      </c>
      <c r="V1530">
        <v>1950</v>
      </c>
      <c r="W1530">
        <v>40</v>
      </c>
      <c r="X1530" t="s">
        <v>856</v>
      </c>
    </row>
    <row r="1531" spans="1:24">
      <c r="A1531" t="str">
        <f>Hyperlink("https://www.diodes.com/part/view/DMT8008SPS","DMT8008SPS")</f>
        <v>DMT8008SPS</v>
      </c>
      <c r="B1531" t="str">
        <f>Hyperlink("https://www.diodes.com/assets/Datasheets/DMT8008SPS.pdf","DMT8008SPS Datasheet")</f>
        <v>DMT8008SPS Datasheet</v>
      </c>
      <c r="C1531" t="s">
        <v>972</v>
      </c>
      <c r="D1531" t="s">
        <v>28</v>
      </c>
      <c r="E1531" t="s">
        <v>26</v>
      </c>
      <c r="F1531" t="s">
        <v>27</v>
      </c>
      <c r="G1531" t="s">
        <v>28</v>
      </c>
      <c r="H1531">
        <v>80</v>
      </c>
      <c r="I1531">
        <v>20</v>
      </c>
      <c r="K1531">
        <v>83</v>
      </c>
      <c r="L1531">
        <v>2.8</v>
      </c>
      <c r="M1531">
        <v>83</v>
      </c>
      <c r="N1531">
        <v>7.8</v>
      </c>
      <c r="O1531" t="s">
        <v>973</v>
      </c>
      <c r="S1531">
        <v>4</v>
      </c>
      <c r="T1531" t="s">
        <v>974</v>
      </c>
      <c r="U1531">
        <v>34</v>
      </c>
      <c r="V1531">
        <v>1950</v>
      </c>
      <c r="W1531">
        <v>40</v>
      </c>
      <c r="X1531" t="s">
        <v>617</v>
      </c>
    </row>
    <row r="1532" spans="1:24">
      <c r="A1532" t="str">
        <f>Hyperlink("https://www.diodes.com/part/view/DMT8012LFG","DMT8012LFG")</f>
        <v>DMT8012LFG</v>
      </c>
      <c r="B1532" t="str">
        <f>Hyperlink("https://www.diodes.com/assets/Datasheets/DMT8012LFG.pdf","DMT8012LFG Datasheet")</f>
        <v>DMT8012LFG Datasheet</v>
      </c>
      <c r="C1532" t="s">
        <v>972</v>
      </c>
      <c r="D1532" t="s">
        <v>25</v>
      </c>
      <c r="E1532" t="s">
        <v>26</v>
      </c>
      <c r="F1532" t="s">
        <v>27</v>
      </c>
      <c r="G1532" t="s">
        <v>28</v>
      </c>
      <c r="H1532">
        <v>80</v>
      </c>
      <c r="I1532">
        <v>20</v>
      </c>
      <c r="J1532">
        <v>9.5</v>
      </c>
      <c r="K1532">
        <v>35</v>
      </c>
      <c r="L1532">
        <v>2.2</v>
      </c>
      <c r="M1532">
        <v>30</v>
      </c>
      <c r="N1532">
        <v>16</v>
      </c>
      <c r="O1532">
        <v>22</v>
      </c>
      <c r="S1532">
        <v>3</v>
      </c>
      <c r="T1532">
        <v>15</v>
      </c>
      <c r="U1532">
        <v>34</v>
      </c>
      <c r="V1532">
        <v>1949</v>
      </c>
      <c r="X1532" t="s">
        <v>529</v>
      </c>
    </row>
    <row r="1533" spans="1:24">
      <c r="A1533" t="str">
        <f>Hyperlink("https://www.diodes.com/part/view/DMT8012LK3","DMT8012LK3")</f>
        <v>DMT8012LK3</v>
      </c>
      <c r="B1533" t="str">
        <f>Hyperlink("https://www.diodes.com/assets/Datasheets/DMT8012LK3.pdf","DMT8012LK3 Datasheet")</f>
        <v>DMT8012LK3 Datasheet</v>
      </c>
      <c r="C1533" t="s">
        <v>972</v>
      </c>
      <c r="D1533" t="s">
        <v>25</v>
      </c>
      <c r="E1533" t="s">
        <v>26</v>
      </c>
      <c r="F1533" t="s">
        <v>27</v>
      </c>
      <c r="G1533" t="s">
        <v>28</v>
      </c>
      <c r="H1533">
        <v>80</v>
      </c>
      <c r="I1533">
        <v>20</v>
      </c>
      <c r="K1533">
        <v>44</v>
      </c>
      <c r="L1533">
        <v>2.7</v>
      </c>
      <c r="M1533">
        <v>50</v>
      </c>
      <c r="N1533">
        <v>17</v>
      </c>
      <c r="O1533">
        <v>22</v>
      </c>
      <c r="S1533">
        <v>3</v>
      </c>
      <c r="T1533">
        <v>15</v>
      </c>
      <c r="U1533">
        <v>34</v>
      </c>
      <c r="V1533">
        <v>1949</v>
      </c>
      <c r="W1533">
        <v>40</v>
      </c>
      <c r="X1533" t="s">
        <v>507</v>
      </c>
    </row>
    <row r="1534" spans="1:24">
      <c r="A1534" t="str">
        <f>Hyperlink("https://www.diodes.com/part/view/DMT8012LPS","DMT8012LPS")</f>
        <v>DMT8012LPS</v>
      </c>
      <c r="B1534" t="str">
        <f>Hyperlink("https://www.diodes.com/assets/Datasheets/DMT8012LPS.pdf","DMT8012LPS Datasheet")</f>
        <v>DMT8012LPS Datasheet</v>
      </c>
      <c r="C1534" t="s">
        <v>972</v>
      </c>
      <c r="D1534" t="s">
        <v>25</v>
      </c>
      <c r="E1534" t="s">
        <v>26</v>
      </c>
      <c r="F1534" t="s">
        <v>27</v>
      </c>
      <c r="G1534" t="s">
        <v>28</v>
      </c>
      <c r="H1534">
        <v>80</v>
      </c>
      <c r="I1534">
        <v>20</v>
      </c>
      <c r="J1534">
        <v>9</v>
      </c>
      <c r="K1534">
        <v>65</v>
      </c>
      <c r="L1534">
        <v>2.1</v>
      </c>
      <c r="M1534">
        <v>113</v>
      </c>
      <c r="N1534">
        <v>17</v>
      </c>
      <c r="O1534">
        <v>21</v>
      </c>
      <c r="S1534">
        <v>3</v>
      </c>
      <c r="T1534">
        <v>15</v>
      </c>
      <c r="U1534">
        <v>34</v>
      </c>
      <c r="V1534">
        <v>1949</v>
      </c>
      <c r="W1534">
        <v>40</v>
      </c>
      <c r="X1534" t="s">
        <v>617</v>
      </c>
    </row>
    <row r="1535" spans="1:24">
      <c r="A1535" t="str">
        <f>Hyperlink("https://www.diodes.com/part/view/DMT8012LSS","DMT8012LSS")</f>
        <v>DMT8012LSS</v>
      </c>
      <c r="B1535" t="str">
        <f>Hyperlink("https://www.diodes.com/assets/Datasheets/DMT8012LSS.pdf","DMT8012LSS Datasheet")</f>
        <v>DMT8012LSS Datasheet</v>
      </c>
      <c r="C1535" t="s">
        <v>972</v>
      </c>
      <c r="D1535" t="s">
        <v>25</v>
      </c>
      <c r="E1535" t="s">
        <v>26</v>
      </c>
      <c r="F1535" t="s">
        <v>27</v>
      </c>
      <c r="G1535" t="s">
        <v>28</v>
      </c>
      <c r="H1535">
        <v>80</v>
      </c>
      <c r="I1535">
        <v>20</v>
      </c>
      <c r="J1535">
        <v>9.7</v>
      </c>
      <c r="L1535">
        <v>2</v>
      </c>
      <c r="N1535">
        <v>16.5</v>
      </c>
      <c r="O1535">
        <v>20</v>
      </c>
      <c r="S1535">
        <v>3</v>
      </c>
      <c r="T1535">
        <v>15</v>
      </c>
      <c r="U1535">
        <v>34</v>
      </c>
      <c r="V1535">
        <v>1949</v>
      </c>
      <c r="W1535">
        <v>40</v>
      </c>
      <c r="X1535" t="s">
        <v>155</v>
      </c>
    </row>
    <row r="1536" spans="1:24">
      <c r="A1536" t="str">
        <f>Hyperlink("https://www.diodes.com/part/view/DMT8030LFDF","DMT8030LFDF")</f>
        <v>DMT8030LFDF</v>
      </c>
      <c r="B1536" t="str">
        <f>Hyperlink("https://www.diodes.com/assets/Datasheets/DMT8030LFDF.pdf","DMT8030LFDF Datasheet")</f>
        <v>DMT8030LFDF Datasheet</v>
      </c>
      <c r="C1536" t="s">
        <v>972</v>
      </c>
      <c r="D1536" t="s">
        <v>28</v>
      </c>
      <c r="E1536" t="s">
        <v>26</v>
      </c>
      <c r="F1536" t="s">
        <v>27</v>
      </c>
      <c r="G1536" t="s">
        <v>28</v>
      </c>
      <c r="H1536">
        <v>80</v>
      </c>
      <c r="I1536">
        <v>20</v>
      </c>
      <c r="J1536">
        <v>7.5</v>
      </c>
      <c r="L1536">
        <v>2.2</v>
      </c>
      <c r="N1536">
        <v>25</v>
      </c>
      <c r="O1536">
        <v>38</v>
      </c>
      <c r="S1536">
        <v>2.5</v>
      </c>
      <c r="T1536">
        <v>5.4</v>
      </c>
      <c r="U1536">
        <v>10.4</v>
      </c>
      <c r="V1536">
        <v>641</v>
      </c>
      <c r="W1536">
        <v>25</v>
      </c>
      <c r="X1536" t="s">
        <v>568</v>
      </c>
    </row>
    <row r="1537" spans="1:24">
      <c r="A1537" t="str">
        <f>Hyperlink("https://www.diodes.com/part/view/DMTH10H003SPSW","DMTH10H003SPSW")</f>
        <v>DMTH10H003SPSW</v>
      </c>
      <c r="B1537" t="str">
        <f>Hyperlink("https://www.diodes.com/assets/Datasheets/DMTH10H003SPSW.pdf","DMTH10H003SPSW Datasheet")</f>
        <v>DMTH10H003SPSW Datasheet</v>
      </c>
      <c r="C1537" t="s">
        <v>754</v>
      </c>
      <c r="D1537" t="s">
        <v>28</v>
      </c>
      <c r="E1537" t="s">
        <v>26</v>
      </c>
      <c r="F1537" t="s">
        <v>27</v>
      </c>
      <c r="G1537" t="s">
        <v>28</v>
      </c>
      <c r="H1537">
        <v>100</v>
      </c>
      <c r="I1537">
        <v>20</v>
      </c>
      <c r="K1537">
        <v>166</v>
      </c>
      <c r="L1537">
        <v>2.6</v>
      </c>
      <c r="M1537">
        <v>167</v>
      </c>
      <c r="N1537">
        <v>3</v>
      </c>
      <c r="S1537">
        <v>4</v>
      </c>
      <c r="U1537">
        <v>85</v>
      </c>
      <c r="W1537">
        <v>50</v>
      </c>
      <c r="X1537" t="s">
        <v>617</v>
      </c>
    </row>
    <row r="1538" spans="1:24">
      <c r="A1538" t="str">
        <f>Hyperlink("https://www.diodes.com/part/view/DMTH10H005LCT","DMTH10H005LCT")</f>
        <v>DMTH10H005LCT</v>
      </c>
      <c r="B1538" t="str">
        <f>Hyperlink("https://www.diodes.com/assets/Datasheets/DMTH10H005LCT.pdf","DMTH10H005LCT Datasheet")</f>
        <v>DMTH10H005LCT Datasheet</v>
      </c>
      <c r="C1538" t="s">
        <v>24</v>
      </c>
      <c r="D1538" t="s">
        <v>28</v>
      </c>
      <c r="E1538" t="s">
        <v>26</v>
      </c>
      <c r="F1538" t="s">
        <v>27</v>
      </c>
      <c r="G1538" t="s">
        <v>28</v>
      </c>
      <c r="H1538">
        <v>100</v>
      </c>
      <c r="I1538">
        <v>20</v>
      </c>
      <c r="K1538">
        <v>140</v>
      </c>
      <c r="L1538">
        <v>2.9</v>
      </c>
      <c r="N1538">
        <v>5</v>
      </c>
      <c r="S1538">
        <v>3.5</v>
      </c>
      <c r="U1538">
        <v>114</v>
      </c>
      <c r="V1538">
        <v>3688</v>
      </c>
      <c r="X1538" t="s">
        <v>753</v>
      </c>
    </row>
    <row r="1539" spans="1:24">
      <c r="A1539" t="str">
        <f>Hyperlink("https://www.diodes.com/part/view/DMTH10H005SCT","DMTH10H005SCT")</f>
        <v>DMTH10H005SCT</v>
      </c>
      <c r="B1539" t="str">
        <f>Hyperlink("https://www.diodes.com/assets/Datasheets/DMTH10H005SCT.pdf","DMTH10H005SCT Datasheet")</f>
        <v>DMTH10H005SCT Datasheet</v>
      </c>
      <c r="C1539" t="s">
        <v>975</v>
      </c>
      <c r="D1539" t="s">
        <v>25</v>
      </c>
      <c r="E1539" t="s">
        <v>26</v>
      </c>
      <c r="F1539" t="s">
        <v>27</v>
      </c>
      <c r="G1539" t="s">
        <v>28</v>
      </c>
      <c r="H1539">
        <v>100</v>
      </c>
      <c r="I1539">
        <v>20</v>
      </c>
      <c r="K1539">
        <v>140</v>
      </c>
      <c r="L1539">
        <v>2.9</v>
      </c>
      <c r="M1539">
        <v>187</v>
      </c>
      <c r="N1539">
        <v>5</v>
      </c>
      <c r="S1539">
        <v>4</v>
      </c>
      <c r="U1539">
        <v>111.7</v>
      </c>
      <c r="V1539">
        <v>8474</v>
      </c>
      <c r="W1539">
        <v>50</v>
      </c>
      <c r="X1539" t="s">
        <v>753</v>
      </c>
    </row>
    <row r="1540" spans="1:24">
      <c r="A1540" t="str">
        <f>Hyperlink("https://www.diodes.com/part/view/DMTH10H009LFG","DMTH10H009LFG")</f>
        <v>DMTH10H009LFG</v>
      </c>
      <c r="B1540" t="str">
        <f>Hyperlink("https://www.diodes.com/assets/Datasheets/DMTH10H009LFG.pdf","DMTH10H009LFG Datasheet")</f>
        <v>DMTH10H009LFG Datasheet</v>
      </c>
      <c r="C1540" t="s">
        <v>754</v>
      </c>
      <c r="D1540" t="s">
        <v>25</v>
      </c>
      <c r="E1540" t="s">
        <v>26</v>
      </c>
      <c r="F1540" t="s">
        <v>27</v>
      </c>
      <c r="G1540" t="s">
        <v>28</v>
      </c>
      <c r="H1540">
        <v>100</v>
      </c>
      <c r="I1540">
        <v>20</v>
      </c>
      <c r="J1540">
        <v>14</v>
      </c>
      <c r="K1540">
        <v>55</v>
      </c>
      <c r="L1540">
        <v>2.5</v>
      </c>
      <c r="M1540">
        <v>39</v>
      </c>
      <c r="N1540">
        <v>8.5</v>
      </c>
      <c r="O1540">
        <v>12.5</v>
      </c>
      <c r="S1540">
        <v>2.5</v>
      </c>
      <c r="U1540">
        <v>41</v>
      </c>
      <c r="W1540">
        <v>50</v>
      </c>
      <c r="X1540" t="s">
        <v>529</v>
      </c>
    </row>
    <row r="1541" spans="1:24">
      <c r="A1541" t="str">
        <f>Hyperlink("https://www.diodes.com/part/view/DMTH10H009LFGQ","DMTH10H009LFGQ")</f>
        <v>DMTH10H009LFGQ</v>
      </c>
      <c r="B1541" t="str">
        <f>Hyperlink("https://www.diodes.com/assets/Datasheets/DMTH10H009LFGQ.pdf","DMTH10H009LFGQ Datasheet")</f>
        <v>DMTH10H009LFGQ Datasheet</v>
      </c>
      <c r="C1541" t="s">
        <v>976</v>
      </c>
      <c r="D1541" t="s">
        <v>25</v>
      </c>
      <c r="E1541" t="s">
        <v>33</v>
      </c>
      <c r="F1541" t="s">
        <v>27</v>
      </c>
      <c r="G1541" t="s">
        <v>28</v>
      </c>
      <c r="H1541">
        <v>100</v>
      </c>
      <c r="I1541">
        <v>20</v>
      </c>
      <c r="J1541">
        <v>12</v>
      </c>
      <c r="K1541">
        <v>46</v>
      </c>
      <c r="L1541">
        <v>2.5</v>
      </c>
      <c r="M1541">
        <v>39</v>
      </c>
      <c r="N1541">
        <v>8.5</v>
      </c>
      <c r="O1541">
        <v>13.6</v>
      </c>
      <c r="R1541">
        <v>1.1</v>
      </c>
      <c r="S1541">
        <v>2.5</v>
      </c>
      <c r="U1541">
        <v>41</v>
      </c>
      <c r="V1541">
        <v>2361</v>
      </c>
      <c r="W1541">
        <v>50</v>
      </c>
      <c r="X1541" t="s">
        <v>529</v>
      </c>
    </row>
    <row r="1542" spans="1:24">
      <c r="A1542" t="str">
        <f>Hyperlink("https://www.diodes.com/part/view/DMTH10H009LPS","DMTH10H009LPS")</f>
        <v>DMTH10H009LPS</v>
      </c>
      <c r="B1542" t="str">
        <f>Hyperlink("https://www.diodes.com/assets/Datasheets/DMTH10H009LPS.pdf","DMTH10H009LPS Datasheet")</f>
        <v>DMTH10H009LPS Datasheet</v>
      </c>
      <c r="C1542" t="s">
        <v>754</v>
      </c>
      <c r="D1542" t="s">
        <v>28</v>
      </c>
      <c r="E1542" t="s">
        <v>26</v>
      </c>
      <c r="F1542" t="s">
        <v>27</v>
      </c>
      <c r="G1542" t="s">
        <v>28</v>
      </c>
      <c r="H1542">
        <v>100</v>
      </c>
      <c r="I1542">
        <v>20</v>
      </c>
      <c r="J1542">
        <v>14</v>
      </c>
      <c r="K1542">
        <v>100</v>
      </c>
      <c r="L1542">
        <v>3.5</v>
      </c>
      <c r="M1542">
        <v>125</v>
      </c>
      <c r="N1542">
        <v>8</v>
      </c>
      <c r="O1542">
        <v>12.5</v>
      </c>
      <c r="S1542">
        <v>2.5</v>
      </c>
      <c r="T1542">
        <v>20.2</v>
      </c>
      <c r="U1542">
        <v>40.2</v>
      </c>
      <c r="V1542">
        <v>2309</v>
      </c>
      <c r="W1542">
        <v>50</v>
      </c>
      <c r="X1542" t="s">
        <v>617</v>
      </c>
    </row>
    <row r="1543" spans="1:24">
      <c r="A1543" t="str">
        <f>Hyperlink("https://www.diodes.com/part/view/DMTH10H009LPSQ","DMTH10H009LPSQ")</f>
        <v>DMTH10H009LPSQ</v>
      </c>
      <c r="B1543" t="str">
        <f>Hyperlink("https://www.diodes.com/assets/Datasheets/DMTH10H009LPSQ.pdf","DMTH10H009LPSQ Datasheet")</f>
        <v>DMTH10H009LPSQ Datasheet</v>
      </c>
      <c r="C1543" t="s">
        <v>754</v>
      </c>
      <c r="D1543" t="s">
        <v>25</v>
      </c>
      <c r="E1543" t="s">
        <v>33</v>
      </c>
      <c r="F1543" t="s">
        <v>27</v>
      </c>
      <c r="G1543" t="s">
        <v>28</v>
      </c>
      <c r="H1543">
        <v>100</v>
      </c>
      <c r="I1543">
        <v>20</v>
      </c>
      <c r="J1543">
        <v>15</v>
      </c>
      <c r="K1543">
        <v>91</v>
      </c>
      <c r="L1543">
        <v>3.1</v>
      </c>
      <c r="M1543">
        <v>100</v>
      </c>
      <c r="N1543">
        <v>8</v>
      </c>
      <c r="O1543">
        <v>12.5</v>
      </c>
      <c r="S1543">
        <v>2.5</v>
      </c>
      <c r="T1543">
        <v>20.2</v>
      </c>
      <c r="U1543">
        <v>40.2</v>
      </c>
      <c r="V1543">
        <v>2309</v>
      </c>
      <c r="W1543">
        <v>50</v>
      </c>
      <c r="X1543" t="s">
        <v>617</v>
      </c>
    </row>
    <row r="1544" spans="1:24">
      <c r="A1544" t="str">
        <f>Hyperlink("https://www.diodes.com/part/view/DMTH10H009SPS","DMTH10H009SPS")</f>
        <v>DMTH10H009SPS</v>
      </c>
      <c r="B1544" t="str">
        <f>Hyperlink("https://www.diodes.com/assets/Datasheets/DMTH10H009SPS.pdf","DMTH10H009SPS Datasheet")</f>
        <v>DMTH10H009SPS Datasheet</v>
      </c>
      <c r="C1544" t="s">
        <v>754</v>
      </c>
      <c r="D1544" t="s">
        <v>28</v>
      </c>
      <c r="E1544" t="s">
        <v>26</v>
      </c>
      <c r="F1544" t="s">
        <v>27</v>
      </c>
      <c r="G1544" t="s">
        <v>28</v>
      </c>
      <c r="H1544">
        <v>100</v>
      </c>
      <c r="I1544">
        <v>20</v>
      </c>
      <c r="J1544">
        <v>16</v>
      </c>
      <c r="K1544">
        <v>88</v>
      </c>
      <c r="L1544">
        <v>3.2</v>
      </c>
      <c r="M1544">
        <v>100</v>
      </c>
      <c r="N1544">
        <v>8.9</v>
      </c>
      <c r="S1544">
        <v>4</v>
      </c>
      <c r="U1544">
        <v>30</v>
      </c>
      <c r="V1544">
        <v>2085</v>
      </c>
      <c r="W1544">
        <v>50</v>
      </c>
      <c r="X1544" t="s">
        <v>617</v>
      </c>
    </row>
    <row r="1545" spans="1:24">
      <c r="A1545" t="str">
        <f>Hyperlink("https://www.diodes.com/part/view/DMTH10H009SPSQ","DMTH10H009SPSQ")</f>
        <v>DMTH10H009SPSQ</v>
      </c>
      <c r="B1545" t="str">
        <f>Hyperlink("https://www.diodes.com/assets/Datasheets/DMTH10H009SPSQ.pdf","DMTH10H009SPSQ Datasheet")</f>
        <v>DMTH10H009SPSQ Datasheet</v>
      </c>
      <c r="C1545" t="s">
        <v>754</v>
      </c>
      <c r="D1545" t="s">
        <v>25</v>
      </c>
      <c r="E1545" t="s">
        <v>33</v>
      </c>
      <c r="F1545" t="s">
        <v>27</v>
      </c>
      <c r="G1545" t="s">
        <v>28</v>
      </c>
      <c r="H1545">
        <v>100</v>
      </c>
      <c r="I1545">
        <v>20</v>
      </c>
      <c r="J1545">
        <v>14</v>
      </c>
      <c r="K1545">
        <v>86</v>
      </c>
      <c r="L1545">
        <v>2.9</v>
      </c>
      <c r="M1545">
        <v>100</v>
      </c>
      <c r="N1545">
        <v>8.9</v>
      </c>
      <c r="S1545">
        <v>4</v>
      </c>
      <c r="U1545">
        <v>30</v>
      </c>
      <c r="V1545">
        <v>2085</v>
      </c>
      <c r="W1545">
        <v>50</v>
      </c>
      <c r="X1545" t="s">
        <v>617</v>
      </c>
    </row>
    <row r="1546" spans="1:24">
      <c r="A1546" t="str">
        <f>Hyperlink("https://www.diodes.com/part/view/DMTH10H010LCT","DMTH10H010LCT")</f>
        <v>DMTH10H010LCT</v>
      </c>
      <c r="B1546" t="str">
        <f>Hyperlink("https://www.diodes.com/assets/Datasheets/DMTH10H010LCT.pdf","DMTH10H010LCT Datasheet")</f>
        <v>DMTH10H010LCT Datasheet</v>
      </c>
      <c r="C1546" t="s">
        <v>754</v>
      </c>
      <c r="D1546" t="s">
        <v>25</v>
      </c>
      <c r="E1546" t="s">
        <v>26</v>
      </c>
      <c r="F1546" t="s">
        <v>27</v>
      </c>
      <c r="G1546" t="s">
        <v>28</v>
      </c>
      <c r="H1546">
        <v>100</v>
      </c>
      <c r="I1546">
        <v>20</v>
      </c>
      <c r="K1546">
        <v>108</v>
      </c>
      <c r="L1546">
        <v>2.4</v>
      </c>
      <c r="M1546">
        <v>166</v>
      </c>
      <c r="N1546">
        <v>9.5</v>
      </c>
      <c r="S1546">
        <v>3.5</v>
      </c>
      <c r="U1546">
        <v>58.4</v>
      </c>
      <c r="V1546">
        <v>2592</v>
      </c>
      <c r="W1546">
        <v>50</v>
      </c>
      <c r="X1546" t="s">
        <v>962</v>
      </c>
    </row>
    <row r="1547" spans="1:24">
      <c r="A1547" t="str">
        <f>Hyperlink("https://www.diodes.com/part/view/DMTH10H010LCTB","DMTH10H010LCTB")</f>
        <v>DMTH10H010LCTB</v>
      </c>
      <c r="B1547" t="str">
        <f>Hyperlink("https://www.diodes.com/assets/Datasheets/DMTH10H010LCTB.pdf","DMTH10H010LCTB Datasheet")</f>
        <v>DMTH10H010LCTB Datasheet</v>
      </c>
      <c r="C1547" t="s">
        <v>554</v>
      </c>
      <c r="D1547" t="s">
        <v>28</v>
      </c>
      <c r="E1547" t="s">
        <v>26</v>
      </c>
      <c r="F1547" t="s">
        <v>27</v>
      </c>
      <c r="G1547" t="s">
        <v>28</v>
      </c>
      <c r="H1547">
        <v>100</v>
      </c>
      <c r="I1547">
        <v>20</v>
      </c>
      <c r="K1547">
        <v>100</v>
      </c>
      <c r="L1547">
        <v>3.9</v>
      </c>
      <c r="M1547">
        <v>125</v>
      </c>
      <c r="N1547">
        <v>9.5</v>
      </c>
      <c r="O1547">
        <v>17</v>
      </c>
      <c r="S1547">
        <v>3.5</v>
      </c>
      <c r="U1547">
        <v>53.7</v>
      </c>
      <c r="V1547">
        <v>2592</v>
      </c>
      <c r="W1547">
        <v>50</v>
      </c>
      <c r="X1547" t="s">
        <v>722</v>
      </c>
    </row>
    <row r="1548" spans="1:24">
      <c r="A1548" t="str">
        <f>Hyperlink("https://www.diodes.com/part/view/DMTH10H010LPS","DMTH10H010LPS")</f>
        <v>DMTH10H010LPS</v>
      </c>
      <c r="B1548" t="str">
        <f>Hyperlink("https://www.diodes.com/assets/Datasheets/DMTH10H010LPS.pdf","DMTH10H010LPS Datasheet")</f>
        <v>DMTH10H010LPS Datasheet</v>
      </c>
      <c r="C1548" t="s">
        <v>754</v>
      </c>
      <c r="D1548" t="s">
        <v>25</v>
      </c>
      <c r="E1548" t="s">
        <v>26</v>
      </c>
      <c r="F1548" t="s">
        <v>27</v>
      </c>
      <c r="G1548" t="s">
        <v>28</v>
      </c>
      <c r="H1548">
        <v>100</v>
      </c>
      <c r="I1548">
        <v>20</v>
      </c>
      <c r="J1548">
        <v>10.8</v>
      </c>
      <c r="K1548">
        <v>98.4</v>
      </c>
      <c r="L1548">
        <v>1.5</v>
      </c>
      <c r="M1548">
        <v>125</v>
      </c>
      <c r="N1548">
        <v>8.6</v>
      </c>
      <c r="O1548">
        <v>20</v>
      </c>
      <c r="S1548">
        <v>3</v>
      </c>
      <c r="U1548">
        <v>53.7</v>
      </c>
      <c r="V1548">
        <v>2592</v>
      </c>
      <c r="W1548">
        <v>50</v>
      </c>
      <c r="X1548" t="s">
        <v>617</v>
      </c>
    </row>
    <row r="1549" spans="1:24">
      <c r="A1549" t="str">
        <f>Hyperlink("https://www.diodes.com/part/view/DMTH10H010SCT","DMTH10H010SCT")</f>
        <v>DMTH10H010SCT</v>
      </c>
      <c r="B1549" t="str">
        <f>Hyperlink("https://www.diodes.com/assets/Datasheets/DMTH10H010SCT.pdf","DMTH10H010SCT Datasheet")</f>
        <v>DMTH10H010SCT Datasheet</v>
      </c>
      <c r="C1549" t="s">
        <v>975</v>
      </c>
      <c r="D1549" t="s">
        <v>28</v>
      </c>
      <c r="E1549" t="s">
        <v>26</v>
      </c>
      <c r="F1549" t="s">
        <v>27</v>
      </c>
      <c r="G1549" t="s">
        <v>28</v>
      </c>
      <c r="H1549">
        <v>100</v>
      </c>
      <c r="I1549">
        <v>20</v>
      </c>
      <c r="K1549">
        <v>100</v>
      </c>
      <c r="L1549">
        <v>2.5</v>
      </c>
      <c r="M1549">
        <v>187</v>
      </c>
      <c r="N1549">
        <v>9.5</v>
      </c>
      <c r="S1549">
        <v>4</v>
      </c>
      <c r="U1549">
        <v>56.4</v>
      </c>
      <c r="V1549">
        <v>4468</v>
      </c>
      <c r="W1549">
        <v>50</v>
      </c>
      <c r="X1549" t="s">
        <v>753</v>
      </c>
    </row>
    <row r="1550" spans="1:24">
      <c r="A1550" t="str">
        <f>Hyperlink("https://www.diodes.com/part/view/DMTH10H010SPS","DMTH10H010SPS")</f>
        <v>DMTH10H010SPS</v>
      </c>
      <c r="B1550" t="str">
        <f>Hyperlink("https://www.diodes.com/assets/Datasheets/DMTH10H010SPS.pdf","DMTH10H010SPS Datasheet")</f>
        <v>DMTH10H010SPS Datasheet</v>
      </c>
      <c r="C1550" t="s">
        <v>754</v>
      </c>
      <c r="D1550" t="s">
        <v>25</v>
      </c>
      <c r="E1550" t="s">
        <v>26</v>
      </c>
      <c r="F1550" t="s">
        <v>27</v>
      </c>
      <c r="G1550" t="s">
        <v>28</v>
      </c>
      <c r="H1550">
        <v>100</v>
      </c>
      <c r="I1550">
        <v>20</v>
      </c>
      <c r="J1550">
        <v>15</v>
      </c>
      <c r="K1550">
        <v>100</v>
      </c>
      <c r="L1550">
        <v>3</v>
      </c>
      <c r="M1550">
        <v>166</v>
      </c>
      <c r="N1550">
        <v>8.8</v>
      </c>
      <c r="O1550" t="s">
        <v>977</v>
      </c>
      <c r="S1550">
        <v>4</v>
      </c>
      <c r="U1550">
        <v>56.4</v>
      </c>
      <c r="V1550">
        <v>4468</v>
      </c>
      <c r="W1550">
        <v>50</v>
      </c>
      <c r="X1550" t="s">
        <v>617</v>
      </c>
    </row>
    <row r="1551" spans="1:24">
      <c r="A1551" t="str">
        <f>Hyperlink("https://www.diodes.com/part/view/DMTH10H010SPSQ","DMTH10H010SPSQ")</f>
        <v>DMTH10H010SPSQ</v>
      </c>
      <c r="B1551" t="str">
        <f>Hyperlink("https://www.diodes.com/assets/Datasheets/DMTH10H010SPSQ.pdf","DMTH10H010SPSQ Datasheet")</f>
        <v>DMTH10H010SPSQ Datasheet</v>
      </c>
      <c r="C1551" t="s">
        <v>754</v>
      </c>
      <c r="D1551" t="s">
        <v>25</v>
      </c>
      <c r="E1551" t="s">
        <v>33</v>
      </c>
      <c r="F1551" t="s">
        <v>27</v>
      </c>
      <c r="G1551" t="s">
        <v>28</v>
      </c>
      <c r="H1551">
        <v>100</v>
      </c>
      <c r="I1551">
        <v>20</v>
      </c>
      <c r="J1551">
        <v>15</v>
      </c>
      <c r="K1551">
        <v>100</v>
      </c>
      <c r="L1551">
        <v>3</v>
      </c>
      <c r="M1551">
        <v>166</v>
      </c>
      <c r="N1551">
        <v>8.8</v>
      </c>
      <c r="O1551" t="s">
        <v>977</v>
      </c>
      <c r="S1551">
        <v>4</v>
      </c>
      <c r="U1551">
        <v>56.4</v>
      </c>
      <c r="V1551">
        <v>4468</v>
      </c>
      <c r="W1551">
        <v>50</v>
      </c>
      <c r="X1551" t="s">
        <v>617</v>
      </c>
    </row>
    <row r="1552" spans="1:24">
      <c r="A1552" t="str">
        <f>Hyperlink("https://www.diodes.com/part/view/DMTH10H010SPSWQ","DMTH10H010SPSWQ")</f>
        <v>DMTH10H010SPSWQ</v>
      </c>
      <c r="B1552" t="str">
        <f>Hyperlink("https://www.diodes.com/assets/Datasheets/DMTH10H010SPSWQ.pdf","DMTH10H010SPSWQ Datasheet")</f>
        <v>DMTH10H010SPSWQ Datasheet</v>
      </c>
      <c r="C1552" t="s">
        <v>976</v>
      </c>
      <c r="D1552" t="s">
        <v>25</v>
      </c>
      <c r="E1552" t="s">
        <v>33</v>
      </c>
      <c r="F1552" t="s">
        <v>27</v>
      </c>
      <c r="G1552" t="s">
        <v>28</v>
      </c>
      <c r="H1552">
        <v>100</v>
      </c>
      <c r="I1552">
        <v>20</v>
      </c>
      <c r="J1552">
        <v>15</v>
      </c>
      <c r="K1552">
        <v>100</v>
      </c>
      <c r="L1552">
        <v>3</v>
      </c>
      <c r="M1552">
        <v>166</v>
      </c>
      <c r="N1552">
        <v>8.8</v>
      </c>
      <c r="R1552">
        <v>2</v>
      </c>
      <c r="S1552">
        <v>4</v>
      </c>
      <c r="U1552">
        <v>56.4</v>
      </c>
      <c r="V1552">
        <v>4468</v>
      </c>
      <c r="W1552">
        <v>50</v>
      </c>
      <c r="X1552" t="s">
        <v>757</v>
      </c>
    </row>
    <row r="1553" spans="1:24">
      <c r="A1553" t="str">
        <f>Hyperlink("https://www.diodes.com/part/view/DMTH10H015LK3","DMTH10H015LK3")</f>
        <v>DMTH10H015LK3</v>
      </c>
      <c r="B1553" t="str">
        <f>Hyperlink("https://www.diodes.com/assets/Datasheets/DMTH10H015LK3.pdf","DMTH10H015LK3 Datasheet")</f>
        <v>DMTH10H015LK3 Datasheet</v>
      </c>
      <c r="C1553" t="s">
        <v>754</v>
      </c>
      <c r="D1553" t="s">
        <v>25</v>
      </c>
      <c r="E1553" t="s">
        <v>26</v>
      </c>
      <c r="F1553" t="s">
        <v>27</v>
      </c>
      <c r="G1553" t="s">
        <v>28</v>
      </c>
      <c r="H1553">
        <v>100</v>
      </c>
      <c r="I1553">
        <v>20</v>
      </c>
      <c r="K1553">
        <v>52.5</v>
      </c>
      <c r="L1553">
        <v>3.5</v>
      </c>
      <c r="N1553">
        <v>15</v>
      </c>
      <c r="O1553">
        <v>25</v>
      </c>
      <c r="S1553">
        <v>3.5</v>
      </c>
      <c r="U1553">
        <v>33.3</v>
      </c>
      <c r="V1553">
        <v>1871</v>
      </c>
      <c r="W1553">
        <v>50</v>
      </c>
      <c r="X1553" t="s">
        <v>507</v>
      </c>
    </row>
    <row r="1554" spans="1:24">
      <c r="A1554" t="str">
        <f>Hyperlink("https://www.diodes.com/part/view/DMTH10H015LPS","DMTH10H015LPS")</f>
        <v>DMTH10H015LPS</v>
      </c>
      <c r="B1554" t="str">
        <f>Hyperlink("https://www.diodes.com/assets/Datasheets/DMTH10H015LPS.pdf","DMTH10H015LPS Datasheet")</f>
        <v>DMTH10H015LPS Datasheet</v>
      </c>
      <c r="C1554" t="s">
        <v>754</v>
      </c>
      <c r="D1554" t="s">
        <v>28</v>
      </c>
      <c r="E1554" t="s">
        <v>26</v>
      </c>
      <c r="F1554" t="s">
        <v>27</v>
      </c>
      <c r="G1554" t="s">
        <v>28</v>
      </c>
      <c r="H1554">
        <v>100</v>
      </c>
      <c r="I1554">
        <v>20</v>
      </c>
      <c r="J1554">
        <v>11</v>
      </c>
      <c r="K1554">
        <v>44</v>
      </c>
      <c r="L1554">
        <v>1.3</v>
      </c>
      <c r="M1554">
        <v>46</v>
      </c>
      <c r="N1554">
        <v>16</v>
      </c>
      <c r="O1554">
        <v>25</v>
      </c>
      <c r="S1554">
        <v>3</v>
      </c>
      <c r="U1554">
        <v>33.3</v>
      </c>
      <c r="V1554">
        <v>1871</v>
      </c>
      <c r="W1554">
        <v>50</v>
      </c>
      <c r="X1554" t="s">
        <v>617</v>
      </c>
    </row>
    <row r="1555" spans="1:24">
      <c r="A1555" t="str">
        <f>Hyperlink("https://www.diodes.com/part/view/DMTH10H015LPSWQ","DMTH10H015LPSWQ")</f>
        <v>DMTH10H015LPSWQ</v>
      </c>
      <c r="B1555" t="str">
        <f>Hyperlink("https://www.diodes.com/assets/Datasheets/DMTH10H015LPSWQ.pdf","DMTH10H015LPSWQ Datasheet")</f>
        <v>DMTH10H015LPSWQ Datasheet</v>
      </c>
      <c r="C1555" t="s">
        <v>976</v>
      </c>
      <c r="D1555" t="s">
        <v>25</v>
      </c>
      <c r="E1555" t="s">
        <v>33</v>
      </c>
      <c r="F1555" t="s">
        <v>27</v>
      </c>
      <c r="G1555" t="s">
        <v>28</v>
      </c>
      <c r="H1555">
        <v>100</v>
      </c>
      <c r="I1555">
        <v>20</v>
      </c>
      <c r="J1555">
        <v>11</v>
      </c>
      <c r="K1555">
        <v>44</v>
      </c>
      <c r="L1555">
        <v>2.8</v>
      </c>
      <c r="M1555">
        <v>46</v>
      </c>
      <c r="N1555">
        <v>16</v>
      </c>
      <c r="O1555">
        <v>25</v>
      </c>
      <c r="R1555">
        <v>1.4</v>
      </c>
      <c r="S1555">
        <v>3</v>
      </c>
      <c r="U1555">
        <v>33.3</v>
      </c>
      <c r="V1555">
        <v>1871</v>
      </c>
      <c r="W1555">
        <v>50</v>
      </c>
      <c r="X1555" t="s">
        <v>757</v>
      </c>
    </row>
    <row r="1556" spans="1:24">
      <c r="A1556" t="str">
        <f>Hyperlink("https://www.diodes.com/part/view/DMTH10H015SK3","DMTH10H015SK3")</f>
        <v>DMTH10H015SK3</v>
      </c>
      <c r="B1556" t="str">
        <f>Hyperlink("https://www.diodes.com/assets/Datasheets/DMTH10H015SK3.pdf","DMTH10H015SK3 Datasheet")</f>
        <v>DMTH10H015SK3 Datasheet</v>
      </c>
      <c r="C1556" t="s">
        <v>754</v>
      </c>
      <c r="D1556" t="s">
        <v>28</v>
      </c>
      <c r="E1556" t="s">
        <v>26</v>
      </c>
      <c r="F1556" t="s">
        <v>27</v>
      </c>
      <c r="G1556" t="s">
        <v>28</v>
      </c>
      <c r="H1556">
        <v>100</v>
      </c>
      <c r="I1556">
        <v>20</v>
      </c>
      <c r="K1556">
        <v>59</v>
      </c>
      <c r="L1556">
        <v>3.7</v>
      </c>
      <c r="N1556">
        <v>14</v>
      </c>
      <c r="S1556">
        <v>4</v>
      </c>
      <c r="U1556">
        <v>30.1</v>
      </c>
      <c r="V1556">
        <v>2343</v>
      </c>
      <c r="W1556">
        <v>50</v>
      </c>
      <c r="X1556" t="s">
        <v>507</v>
      </c>
    </row>
    <row r="1557" spans="1:24">
      <c r="A1557" t="str">
        <f>Hyperlink("https://www.diodes.com/part/view/DMTH10H015SK3Q","DMTH10H015SK3Q")</f>
        <v>DMTH10H015SK3Q</v>
      </c>
      <c r="B1557" t="str">
        <f>Hyperlink("https://www.diodes.com/assets/Datasheets/DMTH10H015SK3Q.pdf","DMTH10H015SK3Q Datasheet")</f>
        <v>DMTH10H015SK3Q Datasheet</v>
      </c>
      <c r="C1557" t="s">
        <v>754</v>
      </c>
      <c r="D1557" t="s">
        <v>25</v>
      </c>
      <c r="E1557" t="s">
        <v>33</v>
      </c>
      <c r="F1557" t="s">
        <v>27</v>
      </c>
      <c r="G1557" t="s">
        <v>28</v>
      </c>
      <c r="H1557">
        <v>100</v>
      </c>
      <c r="I1557">
        <v>20</v>
      </c>
      <c r="K1557">
        <v>59</v>
      </c>
      <c r="L1557">
        <v>3.7</v>
      </c>
      <c r="N1557">
        <v>14</v>
      </c>
      <c r="S1557">
        <v>4</v>
      </c>
      <c r="U1557">
        <v>30.1</v>
      </c>
      <c r="V1557">
        <v>2343</v>
      </c>
      <c r="W1557">
        <v>50</v>
      </c>
      <c r="X1557" t="s">
        <v>507</v>
      </c>
    </row>
    <row r="1558" spans="1:24">
      <c r="A1558" t="str">
        <f>Hyperlink("https://www.diodes.com/part/view/DMTH10H015SPS","DMTH10H015SPS")</f>
        <v>DMTH10H015SPS</v>
      </c>
      <c r="B1558" t="str">
        <f>Hyperlink("https://www.diodes.com/assets/Datasheets/DMTH10H015SPS.pdf","DMTH10H015SPS Datasheet")</f>
        <v>DMTH10H015SPS Datasheet</v>
      </c>
      <c r="C1558" t="s">
        <v>754</v>
      </c>
      <c r="D1558" t="s">
        <v>25</v>
      </c>
      <c r="E1558" t="s">
        <v>26</v>
      </c>
      <c r="F1558" t="s">
        <v>27</v>
      </c>
      <c r="G1558" t="s">
        <v>28</v>
      </c>
      <c r="H1558">
        <v>100</v>
      </c>
      <c r="I1558">
        <v>20</v>
      </c>
      <c r="K1558">
        <v>56</v>
      </c>
      <c r="L1558">
        <v>2.7</v>
      </c>
      <c r="M1558">
        <v>94</v>
      </c>
      <c r="N1558">
        <v>14.5</v>
      </c>
      <c r="O1558" t="s">
        <v>978</v>
      </c>
      <c r="S1558">
        <v>4</v>
      </c>
      <c r="U1558">
        <v>30.1</v>
      </c>
      <c r="V1558">
        <v>2343</v>
      </c>
      <c r="W1558">
        <v>50</v>
      </c>
      <c r="X1558" t="s">
        <v>617</v>
      </c>
    </row>
    <row r="1559" spans="1:24">
      <c r="A1559" t="str">
        <f>Hyperlink("https://www.diodes.com/part/view/DMTH10H015SPSQ","DMTH10H015SPSQ")</f>
        <v>DMTH10H015SPSQ</v>
      </c>
      <c r="B1559" t="str">
        <f>Hyperlink("https://www.diodes.com/assets/Datasheets/DMTH10H015SPSQ.pdf","DMTH10H015SPSQ Datasheet")</f>
        <v>DMTH10H015SPSQ Datasheet</v>
      </c>
      <c r="C1559" t="s">
        <v>754</v>
      </c>
      <c r="D1559" t="s">
        <v>25</v>
      </c>
      <c r="E1559" t="s">
        <v>33</v>
      </c>
      <c r="F1559" t="s">
        <v>27</v>
      </c>
      <c r="G1559" t="s">
        <v>28</v>
      </c>
      <c r="H1559">
        <v>100</v>
      </c>
      <c r="I1559">
        <v>20</v>
      </c>
      <c r="J1559">
        <v>8.4</v>
      </c>
      <c r="K1559">
        <v>56</v>
      </c>
      <c r="L1559">
        <v>2.7</v>
      </c>
      <c r="M1559">
        <v>94</v>
      </c>
      <c r="N1559">
        <v>14.5</v>
      </c>
      <c r="O1559" t="s">
        <v>979</v>
      </c>
      <c r="S1559">
        <v>4</v>
      </c>
      <c r="U1559">
        <v>30.1</v>
      </c>
      <c r="V1559">
        <v>2343</v>
      </c>
      <c r="W1559">
        <v>50</v>
      </c>
      <c r="X1559" t="s">
        <v>617</v>
      </c>
    </row>
    <row r="1560" spans="1:24">
      <c r="A1560" t="str">
        <f>Hyperlink("https://www.diodes.com/part/view/DMTH10H015SPSWQ","DMTH10H015SPSWQ")</f>
        <v>DMTH10H015SPSWQ</v>
      </c>
      <c r="B1560" t="str">
        <f>Hyperlink("https://www.diodes.com/assets/Datasheets/DMTH10H015SPSWQ.pdf","DMTH10H015SPSWQ Datasheet")</f>
        <v>DMTH10H015SPSWQ Datasheet</v>
      </c>
      <c r="C1560" t="s">
        <v>755</v>
      </c>
      <c r="D1560" t="s">
        <v>25</v>
      </c>
      <c r="E1560" t="s">
        <v>33</v>
      </c>
      <c r="F1560" t="s">
        <v>27</v>
      </c>
      <c r="G1560" t="s">
        <v>28</v>
      </c>
      <c r="H1560">
        <v>100</v>
      </c>
      <c r="I1560">
        <v>20</v>
      </c>
      <c r="K1560">
        <v>56</v>
      </c>
      <c r="L1560">
        <v>2.7</v>
      </c>
      <c r="M1560">
        <v>94</v>
      </c>
      <c r="N1560">
        <v>14.5</v>
      </c>
      <c r="R1560">
        <v>2</v>
      </c>
      <c r="S1560">
        <v>4</v>
      </c>
      <c r="U1560">
        <v>30.1</v>
      </c>
      <c r="V1560">
        <v>2343</v>
      </c>
      <c r="W1560">
        <v>50</v>
      </c>
      <c r="X1560" t="s">
        <v>757</v>
      </c>
    </row>
    <row r="1561" spans="1:24">
      <c r="A1561" t="str">
        <f>Hyperlink("https://www.diodes.com/part/view/DMTH10H017LPD","DMTH10H017LPD")</f>
        <v>DMTH10H017LPD</v>
      </c>
      <c r="B1561" t="str">
        <f>Hyperlink("https://www.diodes.com/assets/Datasheets/DMTH10H017LPD.pdf","DMTH10H017LPD Datasheet")</f>
        <v>DMTH10H017LPD Datasheet</v>
      </c>
      <c r="C1561" t="s">
        <v>754</v>
      </c>
      <c r="D1561" t="s">
        <v>25</v>
      </c>
      <c r="E1561" t="s">
        <v>26</v>
      </c>
      <c r="F1561" t="s">
        <v>35</v>
      </c>
      <c r="G1561" t="s">
        <v>28</v>
      </c>
      <c r="H1561">
        <v>100</v>
      </c>
      <c r="I1561">
        <v>20</v>
      </c>
      <c r="K1561">
        <v>59</v>
      </c>
      <c r="L1561">
        <v>2.6</v>
      </c>
      <c r="M1561">
        <v>93</v>
      </c>
      <c r="N1561">
        <v>17.4</v>
      </c>
      <c r="O1561">
        <v>30.3</v>
      </c>
      <c r="S1561">
        <v>3</v>
      </c>
      <c r="T1561">
        <v>14.4</v>
      </c>
      <c r="U1561">
        <v>28.6</v>
      </c>
      <c r="V1561">
        <v>1986</v>
      </c>
      <c r="W1561">
        <v>50</v>
      </c>
      <c r="X1561" t="s">
        <v>617</v>
      </c>
    </row>
    <row r="1562" spans="1:24">
      <c r="A1562" t="str">
        <f>Hyperlink("https://www.diodes.com/part/view/DMTH10H017LPDQ","DMTH10H017LPDQ")</f>
        <v>DMTH10H017LPDQ</v>
      </c>
      <c r="B1562" t="str">
        <f>Hyperlink("https://www.diodes.com/assets/Datasheets/DMTH10H017LPDQ.pdf","DMTH10H017LPDQ Datasheet")</f>
        <v>DMTH10H017LPDQ Datasheet</v>
      </c>
      <c r="C1562" t="s">
        <v>980</v>
      </c>
      <c r="D1562" t="s">
        <v>25</v>
      </c>
      <c r="E1562" t="s">
        <v>33</v>
      </c>
      <c r="F1562" t="s">
        <v>35</v>
      </c>
      <c r="G1562" t="s">
        <v>28</v>
      </c>
      <c r="H1562">
        <v>100</v>
      </c>
      <c r="I1562">
        <v>20</v>
      </c>
      <c r="J1562">
        <v>13</v>
      </c>
      <c r="K1562">
        <v>59</v>
      </c>
      <c r="L1562">
        <v>2.6</v>
      </c>
      <c r="M1562">
        <v>93</v>
      </c>
      <c r="N1562">
        <v>17.4</v>
      </c>
      <c r="O1562">
        <v>30.3</v>
      </c>
      <c r="S1562">
        <v>3</v>
      </c>
      <c r="T1562">
        <v>14.4</v>
      </c>
      <c r="U1562">
        <v>28.6</v>
      </c>
      <c r="V1562">
        <v>1986</v>
      </c>
      <c r="W1562">
        <v>50</v>
      </c>
      <c r="X1562" t="s">
        <v>617</v>
      </c>
    </row>
    <row r="1563" spans="1:24">
      <c r="A1563" t="str">
        <f>Hyperlink("https://www.diodes.com/part/view/DMTH10H025LK3","DMTH10H025LK3")</f>
        <v>DMTH10H025LK3</v>
      </c>
      <c r="B1563" t="str">
        <f>Hyperlink("https://www.diodes.com/assets/Datasheets/DMTH10H025LK3.pdf","DMTH10H025LK3 Datasheet")</f>
        <v>DMTH10H025LK3 Datasheet</v>
      </c>
      <c r="C1563" t="s">
        <v>554</v>
      </c>
      <c r="D1563" t="s">
        <v>25</v>
      </c>
      <c r="E1563" t="s">
        <v>26</v>
      </c>
      <c r="F1563" t="s">
        <v>27</v>
      </c>
      <c r="G1563" t="s">
        <v>28</v>
      </c>
      <c r="H1563">
        <v>100</v>
      </c>
      <c r="I1563">
        <v>20</v>
      </c>
      <c r="K1563">
        <v>51.7</v>
      </c>
      <c r="L1563">
        <v>3.1</v>
      </c>
      <c r="M1563">
        <v>100</v>
      </c>
      <c r="N1563">
        <v>22</v>
      </c>
      <c r="O1563">
        <v>43.7</v>
      </c>
      <c r="S1563">
        <v>3</v>
      </c>
      <c r="U1563">
        <v>21</v>
      </c>
      <c r="V1563">
        <v>1471</v>
      </c>
      <c r="W1563">
        <v>50</v>
      </c>
      <c r="X1563" t="s">
        <v>507</v>
      </c>
    </row>
    <row r="1564" spans="1:24">
      <c r="A1564" t="str">
        <f>Hyperlink("https://www.diodes.com/part/view/DMTH10H025LK3Q","DMTH10H025LK3Q")</f>
        <v>DMTH10H025LK3Q</v>
      </c>
      <c r="B1564" t="str">
        <f>Hyperlink("https://www.diodes.com/assets/Datasheets/DMTH10H025LK3Q.pdf","DMTH10H025LK3Q Datasheet")</f>
        <v>DMTH10H025LK3Q Datasheet</v>
      </c>
      <c r="C1564" t="s">
        <v>754</v>
      </c>
      <c r="D1564" t="s">
        <v>25</v>
      </c>
      <c r="E1564" t="s">
        <v>33</v>
      </c>
      <c r="F1564" t="s">
        <v>27</v>
      </c>
      <c r="G1564" t="s">
        <v>28</v>
      </c>
      <c r="H1564">
        <v>100</v>
      </c>
      <c r="I1564">
        <v>20</v>
      </c>
      <c r="K1564">
        <v>51.7</v>
      </c>
      <c r="L1564">
        <v>3.1</v>
      </c>
      <c r="M1564">
        <v>100</v>
      </c>
      <c r="N1564">
        <v>22</v>
      </c>
      <c r="O1564">
        <v>43.7</v>
      </c>
      <c r="S1564">
        <v>3</v>
      </c>
      <c r="U1564">
        <v>21</v>
      </c>
      <c r="V1564">
        <v>1477</v>
      </c>
      <c r="W1564">
        <v>50</v>
      </c>
      <c r="X1564" t="s">
        <v>507</v>
      </c>
    </row>
    <row r="1565" spans="1:24">
      <c r="A1565" t="str">
        <f>Hyperlink("https://www.diodes.com/part/view/DMTH10H025LPDW","DMTH10H025LPDW")</f>
        <v>DMTH10H025LPDW</v>
      </c>
      <c r="B1565" t="str">
        <f>Hyperlink("https://www.diodes.com/assets/Datasheets/DMTH10H025LPDW.pdf","DMTH10H025LPDW Datasheet")</f>
        <v>DMTH10H025LPDW Datasheet</v>
      </c>
      <c r="C1565" t="s">
        <v>981</v>
      </c>
      <c r="D1565" t="s">
        <v>25</v>
      </c>
      <c r="E1565" t="s">
        <v>26</v>
      </c>
      <c r="F1565" t="s">
        <v>35</v>
      </c>
      <c r="G1565" t="s">
        <v>28</v>
      </c>
      <c r="H1565">
        <v>100</v>
      </c>
      <c r="I1565">
        <v>20</v>
      </c>
      <c r="K1565">
        <v>28</v>
      </c>
      <c r="L1565">
        <v>3.4</v>
      </c>
      <c r="M1565">
        <v>40</v>
      </c>
      <c r="N1565">
        <v>23</v>
      </c>
      <c r="O1565">
        <v>45</v>
      </c>
      <c r="R1565">
        <v>1</v>
      </c>
      <c r="S1565">
        <v>3</v>
      </c>
      <c r="U1565">
        <v>22</v>
      </c>
      <c r="V1565">
        <v>1463</v>
      </c>
      <c r="W1565">
        <v>50</v>
      </c>
      <c r="X1565" t="s">
        <v>115</v>
      </c>
    </row>
    <row r="1566" spans="1:24">
      <c r="A1566" t="str">
        <f>Hyperlink("https://www.diodes.com/part/view/DMTH10H025LPDWQ","DMTH10H025LPDWQ")</f>
        <v>DMTH10H025LPDWQ</v>
      </c>
      <c r="B1566" t="str">
        <f>Hyperlink("https://www.diodes.com/assets/Datasheets/DMTH10H025LPDWQ.pdf","DMTH10H025LPDWQ Datasheet")</f>
        <v>DMTH10H025LPDWQ Datasheet</v>
      </c>
      <c r="C1566" t="s">
        <v>981</v>
      </c>
      <c r="D1566" t="s">
        <v>25</v>
      </c>
      <c r="E1566" t="s">
        <v>33</v>
      </c>
      <c r="F1566" t="s">
        <v>35</v>
      </c>
      <c r="G1566" t="s">
        <v>28</v>
      </c>
      <c r="H1566">
        <v>100</v>
      </c>
      <c r="I1566">
        <v>20</v>
      </c>
      <c r="K1566">
        <v>28</v>
      </c>
      <c r="L1566">
        <v>3.4</v>
      </c>
      <c r="M1566">
        <v>40</v>
      </c>
      <c r="N1566">
        <v>23</v>
      </c>
      <c r="O1566">
        <v>45</v>
      </c>
      <c r="R1566">
        <v>1</v>
      </c>
      <c r="S1566">
        <v>3</v>
      </c>
      <c r="U1566">
        <v>22</v>
      </c>
      <c r="V1566">
        <v>1463</v>
      </c>
      <c r="W1566">
        <v>50</v>
      </c>
      <c r="X1566" t="s">
        <v>115</v>
      </c>
    </row>
    <row r="1567" spans="1:24">
      <c r="A1567" t="str">
        <f>Hyperlink("https://www.diodes.com/part/view/DMTH10H025LPS","DMTH10H025LPS")</f>
        <v>DMTH10H025LPS</v>
      </c>
      <c r="B1567" t="str">
        <f>Hyperlink("https://www.diodes.com/assets/Datasheets/DMTH10H025LPS.pdf","DMTH10H025LPS Datasheet")</f>
        <v>DMTH10H025LPS Datasheet</v>
      </c>
      <c r="C1567" t="s">
        <v>754</v>
      </c>
      <c r="D1567" t="s">
        <v>25</v>
      </c>
      <c r="E1567" t="s">
        <v>26</v>
      </c>
      <c r="F1567" t="s">
        <v>27</v>
      </c>
      <c r="G1567" t="s">
        <v>28</v>
      </c>
      <c r="H1567">
        <v>100</v>
      </c>
      <c r="I1567">
        <v>20</v>
      </c>
      <c r="J1567">
        <v>9.3</v>
      </c>
      <c r="K1567">
        <v>45</v>
      </c>
      <c r="L1567">
        <v>3.2</v>
      </c>
      <c r="M1567">
        <v>79</v>
      </c>
      <c r="N1567">
        <v>23</v>
      </c>
      <c r="O1567" t="s">
        <v>907</v>
      </c>
      <c r="S1567">
        <v>3</v>
      </c>
      <c r="U1567">
        <v>21</v>
      </c>
      <c r="V1567">
        <v>1477</v>
      </c>
      <c r="W1567">
        <v>50</v>
      </c>
      <c r="X1567" t="s">
        <v>617</v>
      </c>
    </row>
    <row r="1568" spans="1:24">
      <c r="A1568" t="str">
        <f>Hyperlink("https://www.diodes.com/part/view/DMTH10H025LPSQ","DMTH10H025LPSQ")</f>
        <v>DMTH10H025LPSQ</v>
      </c>
      <c r="B1568" t="str">
        <f>Hyperlink("https://www.diodes.com/assets/Datasheets/DMTH10H025LPSQ.pdf","DMTH10H025LPSQ Datasheet")</f>
        <v>DMTH10H025LPSQ Datasheet</v>
      </c>
      <c r="C1568" t="s">
        <v>754</v>
      </c>
      <c r="D1568" t="s">
        <v>25</v>
      </c>
      <c r="E1568" t="s">
        <v>33</v>
      </c>
      <c r="F1568" t="s">
        <v>27</v>
      </c>
      <c r="G1568" t="s">
        <v>28</v>
      </c>
      <c r="H1568">
        <v>100</v>
      </c>
      <c r="I1568">
        <v>20</v>
      </c>
      <c r="J1568">
        <v>9.3</v>
      </c>
      <c r="K1568">
        <v>45</v>
      </c>
      <c r="L1568">
        <v>3.2</v>
      </c>
      <c r="M1568">
        <v>79</v>
      </c>
      <c r="N1568">
        <v>23</v>
      </c>
      <c r="S1568">
        <v>3</v>
      </c>
      <c r="U1568">
        <v>21</v>
      </c>
      <c r="V1568">
        <v>1477</v>
      </c>
      <c r="W1568">
        <v>50</v>
      </c>
      <c r="X1568" t="s">
        <v>617</v>
      </c>
    </row>
    <row r="1569" spans="1:24">
      <c r="A1569" t="str">
        <f>Hyperlink("https://www.diodes.com/part/view/DMTH10H025LPSWQ","DMTH10H025LPSWQ")</f>
        <v>DMTH10H025LPSWQ</v>
      </c>
      <c r="B1569" t="str">
        <f>Hyperlink("https://www.diodes.com/assets/Datasheets/DMTH10H025LPSWQ.pdf","DMTH10H025LPSWQ Datasheet")</f>
        <v>DMTH10H025LPSWQ Datasheet</v>
      </c>
      <c r="C1569" t="s">
        <v>976</v>
      </c>
      <c r="D1569" t="s">
        <v>25</v>
      </c>
      <c r="E1569" t="s">
        <v>33</v>
      </c>
      <c r="F1569" t="s">
        <v>27</v>
      </c>
      <c r="G1569" t="s">
        <v>28</v>
      </c>
      <c r="H1569">
        <v>100</v>
      </c>
      <c r="I1569">
        <v>20</v>
      </c>
      <c r="J1569">
        <v>9.3</v>
      </c>
      <c r="K1569">
        <v>45</v>
      </c>
      <c r="L1569">
        <v>3.2</v>
      </c>
      <c r="M1569">
        <v>79</v>
      </c>
      <c r="N1569">
        <v>23</v>
      </c>
      <c r="R1569">
        <v>1</v>
      </c>
      <c r="S1569">
        <v>3</v>
      </c>
      <c r="U1569">
        <v>21</v>
      </c>
      <c r="V1569">
        <v>1477</v>
      </c>
      <c r="W1569">
        <v>50</v>
      </c>
      <c r="X1569" t="s">
        <v>757</v>
      </c>
    </row>
    <row r="1570" spans="1:24">
      <c r="A1570" t="str">
        <f>Hyperlink("https://www.diodes.com/part/view/DMTH10H025SK3","DMTH10H025SK3")</f>
        <v>DMTH10H025SK3</v>
      </c>
      <c r="B1570" t="str">
        <f>Hyperlink("https://www.diodes.com/assets/Datasheets/DMTH10H025SK3.pdf","DMTH10H025SK3 Datasheet")</f>
        <v>DMTH10H025SK3 Datasheet</v>
      </c>
      <c r="C1570" t="s">
        <v>554</v>
      </c>
      <c r="D1570" t="s">
        <v>25</v>
      </c>
      <c r="E1570" t="s">
        <v>26</v>
      </c>
      <c r="F1570" t="s">
        <v>27</v>
      </c>
      <c r="G1570" t="s">
        <v>28</v>
      </c>
      <c r="H1570">
        <v>100</v>
      </c>
      <c r="I1570">
        <v>20</v>
      </c>
      <c r="K1570">
        <v>46.3</v>
      </c>
      <c r="L1570">
        <v>3.7</v>
      </c>
      <c r="N1570">
        <v>23</v>
      </c>
      <c r="O1570" t="s">
        <v>907</v>
      </c>
      <c r="S1570">
        <v>4</v>
      </c>
      <c r="T1570" t="s">
        <v>982</v>
      </c>
      <c r="U1570">
        <v>21.4</v>
      </c>
      <c r="V1570">
        <v>1544</v>
      </c>
      <c r="W1570">
        <v>50</v>
      </c>
      <c r="X1570" t="s">
        <v>507</v>
      </c>
    </row>
    <row r="1571" spans="1:24">
      <c r="A1571" t="str">
        <f>Hyperlink("https://www.diodes.com/part/view/DMTH10H032LDVW","DMTH10H032LDVW")</f>
        <v>DMTH10H032LDVW</v>
      </c>
      <c r="B1571" t="str">
        <f>Hyperlink("https://www.diodes.com/assets/Datasheets/DMTH10H032LDVW.pdf","DMTH10H032LDVW Datasheet")</f>
        <v>DMTH10H032LDVW Datasheet</v>
      </c>
      <c r="C1571" t="s">
        <v>983</v>
      </c>
      <c r="D1571" t="s">
        <v>25</v>
      </c>
      <c r="E1571" t="s">
        <v>26</v>
      </c>
      <c r="F1571" t="s">
        <v>35</v>
      </c>
      <c r="G1571" t="s">
        <v>28</v>
      </c>
      <c r="H1571">
        <v>100</v>
      </c>
      <c r="I1571">
        <v>20</v>
      </c>
      <c r="J1571">
        <v>7.2</v>
      </c>
      <c r="L1571">
        <v>3.3</v>
      </c>
      <c r="N1571">
        <v>32</v>
      </c>
      <c r="R1571">
        <v>1.3</v>
      </c>
      <c r="S1571">
        <v>2.5</v>
      </c>
      <c r="T1571">
        <v>6.3</v>
      </c>
      <c r="U1571">
        <v>11.9</v>
      </c>
      <c r="V1571">
        <v>683</v>
      </c>
      <c r="W1571">
        <v>50</v>
      </c>
      <c r="X1571" t="s">
        <v>309</v>
      </c>
    </row>
    <row r="1572" spans="1:24">
      <c r="A1572" t="str">
        <f>Hyperlink("https://www.diodes.com/part/view/DMTH10H032LDVWQ","DMTH10H032LDVWQ")</f>
        <v>DMTH10H032LDVWQ</v>
      </c>
      <c r="B1572" t="str">
        <f>Hyperlink("https://www.diodes.com/assets/Datasheets/DMTH10H032LDVWQ.pdf","DMTH10H032LDVWQ Datasheet")</f>
        <v>DMTH10H032LDVWQ Datasheet</v>
      </c>
      <c r="C1572" t="s">
        <v>981</v>
      </c>
      <c r="D1572" t="s">
        <v>25</v>
      </c>
      <c r="E1572" t="s">
        <v>33</v>
      </c>
      <c r="F1572" t="s">
        <v>35</v>
      </c>
      <c r="G1572" t="s">
        <v>28</v>
      </c>
      <c r="H1572">
        <v>100</v>
      </c>
      <c r="I1572">
        <v>20</v>
      </c>
      <c r="J1572">
        <v>7.2</v>
      </c>
      <c r="L1572">
        <v>3.3</v>
      </c>
      <c r="N1572">
        <v>32</v>
      </c>
      <c r="R1572">
        <v>1.3</v>
      </c>
      <c r="S1572">
        <v>2.5</v>
      </c>
      <c r="T1572">
        <v>6.3</v>
      </c>
      <c r="U1572">
        <v>11.9</v>
      </c>
      <c r="V1572">
        <v>683</v>
      </c>
      <c r="W1572">
        <v>50</v>
      </c>
      <c r="X1572" t="s">
        <v>309</v>
      </c>
    </row>
    <row r="1573" spans="1:24">
      <c r="A1573" t="str">
        <f>Hyperlink("https://www.diodes.com/part/view/DMTH10H032LFVW","DMTH10H032LFVW")</f>
        <v>DMTH10H032LFVW</v>
      </c>
      <c r="B1573" t="str">
        <f>Hyperlink("https://www.diodes.com/assets/Datasheets/DMTH10H032LFVW.pdf","DMTH10H032LFVW Datasheet")</f>
        <v>DMTH10H032LFVW Datasheet</v>
      </c>
      <c r="C1573" t="s">
        <v>754</v>
      </c>
      <c r="D1573" t="s">
        <v>28</v>
      </c>
      <c r="E1573" t="s">
        <v>26</v>
      </c>
      <c r="F1573" t="s">
        <v>27</v>
      </c>
      <c r="G1573" t="s">
        <v>28</v>
      </c>
      <c r="H1573">
        <v>100</v>
      </c>
      <c r="I1573">
        <v>20</v>
      </c>
      <c r="K1573">
        <v>26</v>
      </c>
      <c r="L1573">
        <v>3.8</v>
      </c>
      <c r="N1573">
        <v>30</v>
      </c>
      <c r="O1573">
        <v>50</v>
      </c>
      <c r="R1573">
        <v>1.3</v>
      </c>
      <c r="S1573">
        <v>2.5</v>
      </c>
      <c r="T1573">
        <v>6.3</v>
      </c>
      <c r="U1573">
        <v>11.9</v>
      </c>
      <c r="V1573">
        <v>683</v>
      </c>
      <c r="W1573">
        <v>50</v>
      </c>
      <c r="X1573" t="s">
        <v>655</v>
      </c>
    </row>
    <row r="1574" spans="1:24">
      <c r="A1574" t="str">
        <f>Hyperlink("https://www.diodes.com/part/view/DMTH10H032LFVWQ","DMTH10H032LFVWQ")</f>
        <v>DMTH10H032LFVWQ</v>
      </c>
      <c r="B1574" t="str">
        <f>Hyperlink("https://www.diodes.com/assets/Datasheets/DMTH10H032LFVWQ.pdf","DMTH10H032LFVWQ Datasheet")</f>
        <v>DMTH10H032LFVWQ Datasheet</v>
      </c>
      <c r="C1574" t="s">
        <v>754</v>
      </c>
      <c r="D1574" t="s">
        <v>25</v>
      </c>
      <c r="E1574" t="s">
        <v>33</v>
      </c>
      <c r="F1574" t="s">
        <v>27</v>
      </c>
      <c r="G1574" t="s">
        <v>28</v>
      </c>
      <c r="H1574">
        <v>100</v>
      </c>
      <c r="I1574">
        <v>20</v>
      </c>
      <c r="K1574">
        <v>26</v>
      </c>
      <c r="L1574">
        <v>3.8</v>
      </c>
      <c r="N1574">
        <v>30</v>
      </c>
      <c r="O1574">
        <v>50</v>
      </c>
      <c r="R1574">
        <v>1.3</v>
      </c>
      <c r="S1574">
        <v>2.5</v>
      </c>
      <c r="T1574">
        <v>6.3</v>
      </c>
      <c r="U1574">
        <v>11.9</v>
      </c>
      <c r="V1574">
        <v>683</v>
      </c>
      <c r="W1574">
        <v>50</v>
      </c>
      <c r="X1574" t="s">
        <v>655</v>
      </c>
    </row>
    <row r="1575" spans="1:24">
      <c r="A1575" t="str">
        <f>Hyperlink("https://www.diodes.com/part/view/DMTH10H032LPDW","DMTH10H032LPDW")</f>
        <v>DMTH10H032LPDW</v>
      </c>
      <c r="B1575" t="str">
        <f>Hyperlink("https://www.diodes.com/assets/Datasheets/DMTH10H032LPDW.pdf","DMTH10H032LPDW Datasheet")</f>
        <v>DMTH10H032LPDW Datasheet</v>
      </c>
      <c r="C1575" t="s">
        <v>984</v>
      </c>
      <c r="D1575" t="s">
        <v>28</v>
      </c>
      <c r="E1575" t="s">
        <v>26</v>
      </c>
      <c r="F1575" t="s">
        <v>35</v>
      </c>
      <c r="G1575" t="s">
        <v>28</v>
      </c>
      <c r="H1575">
        <v>100</v>
      </c>
      <c r="I1575">
        <v>20</v>
      </c>
      <c r="K1575">
        <v>24</v>
      </c>
      <c r="L1575">
        <v>3</v>
      </c>
      <c r="M1575">
        <v>37</v>
      </c>
      <c r="N1575">
        <v>32</v>
      </c>
      <c r="O1575">
        <v>50</v>
      </c>
      <c r="R1575">
        <v>1.3</v>
      </c>
      <c r="S1575">
        <v>2.5</v>
      </c>
      <c r="T1575">
        <v>6.3</v>
      </c>
      <c r="U1575">
        <v>11.9</v>
      </c>
      <c r="V1575">
        <v>683</v>
      </c>
      <c r="W1575">
        <v>50</v>
      </c>
      <c r="X1575" t="s">
        <v>115</v>
      </c>
    </row>
    <row r="1576" spans="1:24">
      <c r="A1576" t="str">
        <f>Hyperlink("https://www.diodes.com/part/view/DMTH10H032LPDWQ","DMTH10H032LPDWQ")</f>
        <v>DMTH10H032LPDWQ</v>
      </c>
      <c r="B1576" t="str">
        <f>Hyperlink("https://www.diodes.com/assets/Datasheets/DMTH10H032LPDWQ.pdf","DMTH10H032LPDWQ Datasheet")</f>
        <v>DMTH10H032LPDWQ Datasheet</v>
      </c>
      <c r="C1576" t="s">
        <v>985</v>
      </c>
      <c r="D1576" t="s">
        <v>25</v>
      </c>
      <c r="E1576" t="s">
        <v>33</v>
      </c>
      <c r="F1576" t="s">
        <v>35</v>
      </c>
      <c r="G1576" t="s">
        <v>28</v>
      </c>
      <c r="H1576">
        <v>100</v>
      </c>
      <c r="I1576">
        <v>20</v>
      </c>
      <c r="K1576">
        <v>24</v>
      </c>
      <c r="L1576">
        <v>3</v>
      </c>
      <c r="M1576">
        <v>37</v>
      </c>
      <c r="N1576">
        <v>32</v>
      </c>
      <c r="O1576">
        <v>50</v>
      </c>
      <c r="R1576">
        <v>1.3</v>
      </c>
      <c r="S1576">
        <v>2.5</v>
      </c>
      <c r="T1576">
        <v>6.3</v>
      </c>
      <c r="U1576">
        <v>11.9</v>
      </c>
      <c r="V1576">
        <v>683</v>
      </c>
      <c r="W1576">
        <v>50</v>
      </c>
      <c r="X1576" t="s">
        <v>115</v>
      </c>
    </row>
    <row r="1577" spans="1:24">
      <c r="A1577" t="str">
        <f>Hyperlink("https://www.diodes.com/part/view/DMTH10H032LPSW","DMTH10H032LPSW")</f>
        <v>DMTH10H032LPSW</v>
      </c>
      <c r="B1577" t="str">
        <f>Hyperlink("https://www.diodes.com/assets/Datasheets/DMTH10H032LPSW.pdf","DMTH10H032LPSW Datasheet")</f>
        <v>DMTH10H032LPSW Datasheet</v>
      </c>
      <c r="C1577" t="s">
        <v>981</v>
      </c>
      <c r="D1577" t="s">
        <v>25</v>
      </c>
      <c r="E1577" t="s">
        <v>26</v>
      </c>
      <c r="F1577" t="s">
        <v>27</v>
      </c>
      <c r="G1577" t="s">
        <v>28</v>
      </c>
      <c r="H1577">
        <v>100</v>
      </c>
      <c r="I1577">
        <v>20</v>
      </c>
      <c r="K1577">
        <v>33</v>
      </c>
      <c r="L1577">
        <v>3.4</v>
      </c>
      <c r="M1577">
        <v>68</v>
      </c>
      <c r="N1577">
        <v>32</v>
      </c>
      <c r="O1577">
        <v>50</v>
      </c>
      <c r="R1577">
        <v>1.3</v>
      </c>
      <c r="S1577">
        <v>2.5</v>
      </c>
      <c r="T1577">
        <v>6.3</v>
      </c>
      <c r="U1577">
        <v>11.9</v>
      </c>
      <c r="V1577">
        <v>683</v>
      </c>
      <c r="W1577">
        <v>50</v>
      </c>
      <c r="X1577" t="s">
        <v>617</v>
      </c>
    </row>
    <row r="1578" spans="1:24">
      <c r="A1578" t="str">
        <f>Hyperlink("https://www.diodes.com/part/view/DMTH10H032LPSWQ","DMTH10H032LPSWQ")</f>
        <v>DMTH10H032LPSWQ</v>
      </c>
      <c r="B1578" t="str">
        <f>Hyperlink("https://www.diodes.com/assets/Datasheets/DMTH10H032LPSWQ.pdf","DMTH10H032LPSWQ Datasheet")</f>
        <v>DMTH10H032LPSWQ Datasheet</v>
      </c>
      <c r="C1578" t="s">
        <v>981</v>
      </c>
      <c r="D1578" t="s">
        <v>25</v>
      </c>
      <c r="E1578" t="s">
        <v>33</v>
      </c>
      <c r="F1578" t="s">
        <v>27</v>
      </c>
      <c r="G1578" t="s">
        <v>28</v>
      </c>
      <c r="H1578">
        <v>100</v>
      </c>
      <c r="I1578">
        <v>20</v>
      </c>
      <c r="K1578">
        <v>33</v>
      </c>
      <c r="L1578">
        <v>3.4</v>
      </c>
      <c r="M1578">
        <v>68</v>
      </c>
      <c r="N1578">
        <v>32</v>
      </c>
      <c r="O1578">
        <v>50</v>
      </c>
      <c r="R1578">
        <v>1.3</v>
      </c>
      <c r="S1578">
        <v>2.5</v>
      </c>
      <c r="T1578">
        <v>6.3</v>
      </c>
      <c r="U1578">
        <v>11.9</v>
      </c>
      <c r="V1578">
        <v>683</v>
      </c>
      <c r="W1578">
        <v>50</v>
      </c>
      <c r="X1578" t="s">
        <v>617</v>
      </c>
    </row>
    <row r="1579" spans="1:24">
      <c r="A1579" t="str">
        <f>Hyperlink("https://www.diodes.com/part/view/DMTH10H032SDVW","DMTH10H032SDVW")</f>
        <v>DMTH10H032SDVW</v>
      </c>
      <c r="B1579" t="str">
        <f>Hyperlink("https://www.diodes.com/assets/Datasheets/DMTH10H032SDVW.pdf","DMTH10H032SDVW Datasheet")</f>
        <v>DMTH10H032SDVW Datasheet</v>
      </c>
      <c r="C1579" t="s">
        <v>908</v>
      </c>
      <c r="D1579" t="s">
        <v>25</v>
      </c>
      <c r="E1579" t="s">
        <v>26</v>
      </c>
      <c r="F1579" t="s">
        <v>35</v>
      </c>
      <c r="G1579" t="s">
        <v>28</v>
      </c>
      <c r="H1579">
        <v>100</v>
      </c>
      <c r="I1579">
        <v>20</v>
      </c>
      <c r="J1579">
        <v>6.2</v>
      </c>
      <c r="L1579">
        <v>2.7</v>
      </c>
      <c r="N1579">
        <v>35</v>
      </c>
      <c r="R1579">
        <v>2</v>
      </c>
      <c r="S1579">
        <v>4</v>
      </c>
      <c r="T1579">
        <v>4.3</v>
      </c>
      <c r="U1579">
        <v>8</v>
      </c>
      <c r="V1579">
        <v>544</v>
      </c>
      <c r="W1579">
        <v>50</v>
      </c>
      <c r="X1579" t="s">
        <v>309</v>
      </c>
    </row>
    <row r="1580" spans="1:24">
      <c r="A1580" t="str">
        <f>Hyperlink("https://www.diodes.com/part/view/DMTH10H032SDVWQ","DMTH10H032SDVWQ")</f>
        <v>DMTH10H032SDVWQ</v>
      </c>
      <c r="B1580" t="str">
        <f>Hyperlink("https://www.diodes.com/assets/Datasheets/DMTH10H032SDVWQ.pdf","DMTH10H032SDVWQ Datasheet")</f>
        <v>DMTH10H032SDVWQ Datasheet</v>
      </c>
      <c r="C1580" t="s">
        <v>981</v>
      </c>
      <c r="D1580" t="s">
        <v>25</v>
      </c>
      <c r="E1580" t="s">
        <v>33</v>
      </c>
      <c r="F1580" t="s">
        <v>35</v>
      </c>
      <c r="G1580" t="s">
        <v>28</v>
      </c>
      <c r="H1580">
        <v>100</v>
      </c>
      <c r="I1580">
        <v>20</v>
      </c>
      <c r="J1580">
        <v>6.2</v>
      </c>
      <c r="L1580">
        <v>2.7</v>
      </c>
      <c r="N1580">
        <v>35</v>
      </c>
      <c r="R1580">
        <v>2</v>
      </c>
      <c r="S1580">
        <v>4</v>
      </c>
      <c r="T1580">
        <v>4.3</v>
      </c>
      <c r="U1580">
        <v>8</v>
      </c>
      <c r="V1580">
        <v>544</v>
      </c>
      <c r="W1580">
        <v>50</v>
      </c>
      <c r="X1580" t="s">
        <v>309</v>
      </c>
    </row>
    <row r="1581" spans="1:24">
      <c r="A1581" t="str">
        <f>Hyperlink("https://www.diodes.com/part/view/DMTH10H032SPSW","DMTH10H032SPSW")</f>
        <v>DMTH10H032SPSW</v>
      </c>
      <c r="B1581" t="str">
        <f>Hyperlink("https://www.diodes.com/assets/Datasheets/DMTH10H032SPSW.pdf","DMTH10H032SPSW Datasheet")</f>
        <v>DMTH10H032SPSW Datasheet</v>
      </c>
      <c r="C1581" t="s">
        <v>980</v>
      </c>
      <c r="D1581" t="s">
        <v>28</v>
      </c>
      <c r="E1581" t="s">
        <v>26</v>
      </c>
      <c r="F1581" t="s">
        <v>27</v>
      </c>
      <c r="G1581" t="s">
        <v>28</v>
      </c>
      <c r="H1581">
        <v>100</v>
      </c>
      <c r="I1581">
        <v>20</v>
      </c>
      <c r="K1581">
        <v>25</v>
      </c>
      <c r="L1581">
        <v>3.2</v>
      </c>
      <c r="M1581">
        <v>38</v>
      </c>
      <c r="N1581">
        <v>32</v>
      </c>
      <c r="R1581">
        <v>2</v>
      </c>
      <c r="S1581">
        <v>4</v>
      </c>
      <c r="T1581">
        <v>4.3</v>
      </c>
      <c r="U1581">
        <v>8</v>
      </c>
      <c r="V1581">
        <v>544</v>
      </c>
      <c r="W1581">
        <v>50</v>
      </c>
      <c r="X1581" t="s">
        <v>757</v>
      </c>
    </row>
    <row r="1582" spans="1:24">
      <c r="A1582" t="str">
        <f>Hyperlink("https://www.diodes.com/part/view/DMTH10H032SPSWQ","DMTH10H032SPSWQ")</f>
        <v>DMTH10H032SPSWQ</v>
      </c>
      <c r="B1582" t="str">
        <f>Hyperlink("https://www.diodes.com/assets/Datasheets/DMTH10H032SPSWQ.pdf","DMTH10H032SPSWQ Datasheet")</f>
        <v>DMTH10H032SPSWQ Datasheet</v>
      </c>
      <c r="C1582" t="s">
        <v>980</v>
      </c>
      <c r="D1582" t="s">
        <v>25</v>
      </c>
      <c r="E1582" t="s">
        <v>33</v>
      </c>
      <c r="F1582" t="s">
        <v>27</v>
      </c>
      <c r="G1582" t="s">
        <v>28</v>
      </c>
      <c r="H1582">
        <v>100</v>
      </c>
      <c r="I1582">
        <v>20</v>
      </c>
      <c r="K1582">
        <v>25</v>
      </c>
      <c r="L1582">
        <v>3.2</v>
      </c>
      <c r="M1582">
        <v>38</v>
      </c>
      <c r="N1582">
        <v>32</v>
      </c>
      <c r="R1582">
        <v>2</v>
      </c>
      <c r="S1582">
        <v>4</v>
      </c>
      <c r="T1582">
        <v>4.3</v>
      </c>
      <c r="U1582">
        <v>8</v>
      </c>
      <c r="V1582">
        <v>544</v>
      </c>
      <c r="W1582">
        <v>50</v>
      </c>
      <c r="X1582" t="s">
        <v>757</v>
      </c>
    </row>
    <row r="1583" spans="1:24">
      <c r="A1583" t="str">
        <f>Hyperlink("https://www.diodes.com/part/view/DMTH10H038SPDW","DMTH10H038SPDW")</f>
        <v>DMTH10H038SPDW</v>
      </c>
      <c r="B1583" t="str">
        <f>Hyperlink("https://www.diodes.com/assets/Datasheets/DMTH10H038SPDW.pdf","DMTH10H038SPDW Datasheet")</f>
        <v>DMTH10H038SPDW Datasheet</v>
      </c>
      <c r="C1583" t="s">
        <v>980</v>
      </c>
      <c r="D1583" t="s">
        <v>28</v>
      </c>
      <c r="E1583" t="s">
        <v>26</v>
      </c>
      <c r="F1583" t="s">
        <v>35</v>
      </c>
      <c r="G1583" t="s">
        <v>28</v>
      </c>
      <c r="H1583">
        <v>100</v>
      </c>
      <c r="I1583">
        <v>20</v>
      </c>
      <c r="K1583">
        <v>25</v>
      </c>
      <c r="L1583">
        <v>2.7</v>
      </c>
      <c r="M1583">
        <v>39</v>
      </c>
      <c r="N1583">
        <v>33</v>
      </c>
      <c r="R1583">
        <v>2</v>
      </c>
      <c r="S1583">
        <v>4</v>
      </c>
      <c r="T1583">
        <v>4.3</v>
      </c>
      <c r="U1583">
        <v>8</v>
      </c>
      <c r="V1583">
        <v>544</v>
      </c>
      <c r="W1583">
        <v>50</v>
      </c>
      <c r="X1583" t="s">
        <v>617</v>
      </c>
    </row>
    <row r="1584" spans="1:24">
      <c r="A1584" t="str">
        <f>Hyperlink("https://www.diodes.com/part/view/DMTH10H038SPDWQ","DMTH10H038SPDWQ")</f>
        <v>DMTH10H038SPDWQ</v>
      </c>
      <c r="B1584" t="str">
        <f>Hyperlink("https://www.diodes.com/assets/Datasheets/DMTH10H038SPDWQ.pdf","DMTH10H038SPDWQ Datasheet")</f>
        <v>DMTH10H038SPDWQ Datasheet</v>
      </c>
      <c r="C1584" t="s">
        <v>980</v>
      </c>
      <c r="D1584" t="s">
        <v>25</v>
      </c>
      <c r="E1584" t="s">
        <v>33</v>
      </c>
      <c r="F1584" t="s">
        <v>35</v>
      </c>
      <c r="G1584" t="s">
        <v>28</v>
      </c>
      <c r="H1584">
        <v>100</v>
      </c>
      <c r="I1584">
        <v>20</v>
      </c>
      <c r="K1584">
        <v>25</v>
      </c>
      <c r="L1584">
        <v>2.7</v>
      </c>
      <c r="M1584">
        <v>39</v>
      </c>
      <c r="N1584">
        <v>33</v>
      </c>
      <c r="R1584">
        <v>2</v>
      </c>
      <c r="S1584">
        <v>4</v>
      </c>
      <c r="T1584">
        <v>4.3</v>
      </c>
      <c r="U1584">
        <v>8</v>
      </c>
      <c r="V1584">
        <v>544</v>
      </c>
      <c r="W1584">
        <v>50</v>
      </c>
      <c r="X1584" t="s">
        <v>617</v>
      </c>
    </row>
    <row r="1585" spans="1:24">
      <c r="A1585" t="str">
        <f>Hyperlink("https://www.diodes.com/part/view/DMTH10H072LPS","DMTH10H072LPS")</f>
        <v>DMTH10H072LPS</v>
      </c>
      <c r="B1585" t="str">
        <f>Hyperlink("https://www.diodes.com/assets/Datasheets/DMTH10H072LPS.pdf","DMTH10H072LPS Datasheet")</f>
        <v>DMTH10H072LPS Datasheet</v>
      </c>
      <c r="C1585" t="s">
        <v>754</v>
      </c>
      <c r="D1585" t="s">
        <v>28</v>
      </c>
      <c r="E1585" t="s">
        <v>26</v>
      </c>
      <c r="F1585" t="s">
        <v>27</v>
      </c>
      <c r="G1585" t="s">
        <v>28</v>
      </c>
      <c r="H1585">
        <v>100</v>
      </c>
      <c r="I1585">
        <v>20</v>
      </c>
      <c r="K1585">
        <v>20</v>
      </c>
      <c r="L1585">
        <v>3</v>
      </c>
      <c r="N1585">
        <v>57</v>
      </c>
      <c r="O1585">
        <v>96</v>
      </c>
      <c r="S1585">
        <v>3</v>
      </c>
      <c r="T1585">
        <v>2.8</v>
      </c>
      <c r="U1585">
        <v>5.1</v>
      </c>
      <c r="V1585">
        <v>266</v>
      </c>
      <c r="W1585">
        <v>50</v>
      </c>
      <c r="X1585" t="s">
        <v>617</v>
      </c>
    </row>
    <row r="1586" spans="1:24">
      <c r="A1586" t="str">
        <f>Hyperlink("https://www.diodes.com/part/view/DMTH10H1M7STLW","DMTH10H1M7STLW")</f>
        <v>DMTH10H1M7STLW</v>
      </c>
      <c r="B1586" t="str">
        <f>Hyperlink("https://www.diodes.com/assets/Datasheets/DMTH10H1M7STLW.pdf","DMTH10H1M7STLW Datasheet")</f>
        <v>DMTH10H1M7STLW Datasheet</v>
      </c>
      <c r="C1586" t="s">
        <v>986</v>
      </c>
      <c r="D1586" t="s">
        <v>28</v>
      </c>
      <c r="E1586" t="s">
        <v>26</v>
      </c>
      <c r="F1586" t="s">
        <v>27</v>
      </c>
      <c r="G1586" t="s">
        <v>28</v>
      </c>
      <c r="H1586">
        <v>100</v>
      </c>
      <c r="I1586">
        <v>20</v>
      </c>
      <c r="K1586">
        <v>250</v>
      </c>
      <c r="L1586">
        <v>6</v>
      </c>
      <c r="M1586">
        <v>250</v>
      </c>
      <c r="N1586">
        <v>2</v>
      </c>
      <c r="S1586">
        <v>4</v>
      </c>
      <c r="U1586">
        <v>147</v>
      </c>
      <c r="V1586">
        <v>9871</v>
      </c>
      <c r="W1586">
        <v>50</v>
      </c>
      <c r="X1586" t="s">
        <v>987</v>
      </c>
    </row>
    <row r="1587" spans="1:24">
      <c r="A1587" t="str">
        <f>Hyperlink("https://www.diodes.com/part/view/DMTH10H1M7STLWQ","DMTH10H1M7STLWQ")</f>
        <v>DMTH10H1M7STLWQ</v>
      </c>
      <c r="B1587" t="str">
        <f>Hyperlink("https://www.diodes.com/assets/Datasheets/DMTH10H1M7STLWQ.pdf","DMTH10H1M7STLWQ Datasheet")</f>
        <v>DMTH10H1M7STLWQ Datasheet</v>
      </c>
      <c r="C1587" t="s">
        <v>988</v>
      </c>
      <c r="D1587" t="s">
        <v>25</v>
      </c>
      <c r="E1587" t="s">
        <v>33</v>
      </c>
      <c r="F1587" t="s">
        <v>27</v>
      </c>
      <c r="G1587" t="s">
        <v>28</v>
      </c>
      <c r="H1587">
        <v>100</v>
      </c>
      <c r="I1587">
        <v>20</v>
      </c>
      <c r="K1587">
        <v>250</v>
      </c>
      <c r="L1587">
        <v>6</v>
      </c>
      <c r="M1587">
        <v>250</v>
      </c>
      <c r="N1587">
        <v>2</v>
      </c>
      <c r="R1587">
        <v>2</v>
      </c>
      <c r="S1587">
        <v>4</v>
      </c>
      <c r="U1587">
        <v>147</v>
      </c>
      <c r="V1587">
        <v>9871</v>
      </c>
      <c r="W1587">
        <v>50</v>
      </c>
      <c r="X1587" t="s">
        <v>987</v>
      </c>
    </row>
    <row r="1588" spans="1:24">
      <c r="A1588" t="str">
        <f>Hyperlink("https://www.diodes.com/part/view/DMTH10H2M2LPSW","DMTH10H2M2LPSW")</f>
        <v>DMTH10H2M2LPSW</v>
      </c>
      <c r="B1588" t="str">
        <f>Hyperlink("https://www.diodes.com/assets/Datasheets/DMTH10H2M2LPSW.pdf","DMTH10H2M2LPSW Datasheet")</f>
        <v>DMTH10H2M2LPSW Datasheet</v>
      </c>
      <c r="C1588" t="s">
        <v>976</v>
      </c>
      <c r="D1588" t="s">
        <v>28</v>
      </c>
      <c r="E1588" t="s">
        <v>26</v>
      </c>
      <c r="F1588" t="s">
        <v>27</v>
      </c>
      <c r="G1588" t="s">
        <v>28</v>
      </c>
      <c r="H1588">
        <v>100</v>
      </c>
      <c r="I1588">
        <v>20</v>
      </c>
      <c r="K1588">
        <v>153</v>
      </c>
      <c r="L1588">
        <v>4</v>
      </c>
      <c r="M1588">
        <v>150</v>
      </c>
      <c r="N1588">
        <v>3.2</v>
      </c>
      <c r="O1588">
        <v>4.5</v>
      </c>
      <c r="R1588">
        <v>1.3</v>
      </c>
      <c r="S1588">
        <v>2.5</v>
      </c>
      <c r="T1588">
        <v>58</v>
      </c>
      <c r="U1588">
        <v>116</v>
      </c>
      <c r="V1588">
        <v>6239</v>
      </c>
      <c r="W1588">
        <v>50</v>
      </c>
      <c r="X1588" t="s">
        <v>757</v>
      </c>
    </row>
    <row r="1589" spans="1:24">
      <c r="A1589" t="str">
        <f>Hyperlink("https://www.diodes.com/part/view/DMTH10H2M2LPSWQ","DMTH10H2M2LPSWQ")</f>
        <v>DMTH10H2M2LPSWQ</v>
      </c>
      <c r="B1589" t="str">
        <f>Hyperlink("https://www.diodes.com/assets/Datasheets/DMTH10H2M2LPSWQ.pdf","DMTH10H2M2LPSWQ Datasheet")</f>
        <v>DMTH10H2M2LPSWQ Datasheet</v>
      </c>
      <c r="C1589" t="s">
        <v>976</v>
      </c>
      <c r="D1589" t="s">
        <v>25</v>
      </c>
      <c r="E1589" t="s">
        <v>33</v>
      </c>
      <c r="F1589" t="s">
        <v>27</v>
      </c>
      <c r="G1589" t="s">
        <v>28</v>
      </c>
      <c r="H1589">
        <v>100</v>
      </c>
      <c r="I1589">
        <v>20</v>
      </c>
      <c r="K1589">
        <v>153</v>
      </c>
      <c r="L1589">
        <v>4</v>
      </c>
      <c r="M1589">
        <v>150</v>
      </c>
      <c r="N1589">
        <v>3.2</v>
      </c>
      <c r="O1589">
        <v>4.5</v>
      </c>
      <c r="R1589">
        <v>1.3</v>
      </c>
      <c r="S1589">
        <v>2.5</v>
      </c>
      <c r="T1589">
        <v>58</v>
      </c>
      <c r="U1589">
        <v>116</v>
      </c>
      <c r="V1589">
        <v>6239</v>
      </c>
      <c r="W1589">
        <v>50</v>
      </c>
      <c r="X1589" t="s">
        <v>757</v>
      </c>
    </row>
    <row r="1590" spans="1:24">
      <c r="A1590" t="str">
        <f>Hyperlink("https://www.diodes.com/part/view/DMTH10H2M5STLW","DMTH10H2M5STLW")</f>
        <v>DMTH10H2M5STLW</v>
      </c>
      <c r="B1590" t="str">
        <f>Hyperlink("https://www.diodes.com/assets/Datasheets/DMTH10H2M5STLW.pdf","DMTH10H2M5STLW Datasheet")</f>
        <v>DMTH10H2M5STLW Datasheet</v>
      </c>
      <c r="C1590" t="s">
        <v>986</v>
      </c>
      <c r="D1590" t="s">
        <v>28</v>
      </c>
      <c r="E1590" t="s">
        <v>26</v>
      </c>
      <c r="F1590" t="s">
        <v>27</v>
      </c>
      <c r="G1590" t="s">
        <v>28</v>
      </c>
      <c r="H1590">
        <v>100</v>
      </c>
      <c r="I1590">
        <v>20</v>
      </c>
      <c r="K1590">
        <v>248</v>
      </c>
      <c r="L1590">
        <v>5.8</v>
      </c>
      <c r="M1590">
        <v>230.8</v>
      </c>
      <c r="N1590">
        <v>2.5</v>
      </c>
      <c r="S1590">
        <v>4</v>
      </c>
      <c r="U1590">
        <v>124.4</v>
      </c>
      <c r="V1590">
        <v>8450</v>
      </c>
      <c r="W1590">
        <v>50</v>
      </c>
      <c r="X1590" t="s">
        <v>987</v>
      </c>
    </row>
    <row r="1591" spans="1:24">
      <c r="A1591" t="str">
        <f>Hyperlink("https://www.diodes.com/part/view/DMTH10H2M5STLWQ","DMTH10H2M5STLWQ")</f>
        <v>DMTH10H2M5STLWQ</v>
      </c>
      <c r="B1591" t="str">
        <f>Hyperlink("https://www.diodes.com/assets/Datasheets/DMTH10H2M5STLWQ.pdf","DMTH10H2M5STLWQ Datasheet")</f>
        <v>DMTH10H2M5STLWQ Datasheet</v>
      </c>
      <c r="C1591" t="s">
        <v>988</v>
      </c>
      <c r="D1591" t="s">
        <v>25</v>
      </c>
      <c r="E1591" t="s">
        <v>33</v>
      </c>
      <c r="F1591" t="s">
        <v>27</v>
      </c>
      <c r="G1591" t="s">
        <v>28</v>
      </c>
      <c r="H1591">
        <v>100</v>
      </c>
      <c r="I1591">
        <v>20</v>
      </c>
      <c r="K1591">
        <v>248</v>
      </c>
      <c r="L1591">
        <v>5.8</v>
      </c>
      <c r="M1591">
        <v>230.8</v>
      </c>
      <c r="N1591">
        <v>2.5</v>
      </c>
      <c r="S1591">
        <v>4</v>
      </c>
      <c r="U1591">
        <v>124.4</v>
      </c>
      <c r="V1591">
        <v>8450</v>
      </c>
      <c r="W1591">
        <v>50</v>
      </c>
      <c r="X1591" t="s">
        <v>987</v>
      </c>
    </row>
    <row r="1592" spans="1:24">
      <c r="A1592" t="str">
        <f>Hyperlink("https://www.diodes.com/part/view/DMTH10H4M5LPS","DMTH10H4M5LPS")</f>
        <v>DMTH10H4M5LPS</v>
      </c>
      <c r="B1592" t="str">
        <f>Hyperlink("https://www.diodes.com/assets/Datasheets/DMTH10H4M5LPS.pdf","DMTH10H4M5LPS Datasheet")</f>
        <v>DMTH10H4M5LPS Datasheet</v>
      </c>
      <c r="C1592" t="s">
        <v>554</v>
      </c>
      <c r="D1592" t="s">
        <v>28</v>
      </c>
      <c r="E1592" t="s">
        <v>26</v>
      </c>
      <c r="F1592" t="s">
        <v>27</v>
      </c>
      <c r="G1592" t="s">
        <v>28</v>
      </c>
      <c r="H1592">
        <v>100</v>
      </c>
      <c r="I1592">
        <v>20</v>
      </c>
      <c r="J1592">
        <v>20</v>
      </c>
      <c r="K1592">
        <v>100</v>
      </c>
      <c r="L1592">
        <v>2.7</v>
      </c>
      <c r="M1592">
        <v>136</v>
      </c>
      <c r="N1592">
        <v>4.3</v>
      </c>
      <c r="O1592">
        <v>6.2</v>
      </c>
      <c r="S1592">
        <v>2.5</v>
      </c>
      <c r="U1592">
        <v>80</v>
      </c>
      <c r="V1592">
        <v>4843</v>
      </c>
      <c r="W1592">
        <v>50</v>
      </c>
      <c r="X1592" t="s">
        <v>617</v>
      </c>
    </row>
    <row r="1593" spans="1:24">
      <c r="A1593" t="str">
        <f>Hyperlink("https://www.diodes.com/part/view/DMTH10H4M5LPSW","DMTH10H4M5LPSW")</f>
        <v>DMTH10H4M5LPSW</v>
      </c>
      <c r="B1593" t="str">
        <f>Hyperlink("https://www.diodes.com/assets/Datasheets/DMTH10H4M5LPSW.pdf","DMTH10H4M5LPSW Datasheet")</f>
        <v>DMTH10H4M5LPSW Datasheet</v>
      </c>
      <c r="C1593" t="s">
        <v>980</v>
      </c>
      <c r="D1593" t="s">
        <v>28</v>
      </c>
      <c r="E1593" t="s">
        <v>26</v>
      </c>
      <c r="F1593" t="s">
        <v>27</v>
      </c>
      <c r="G1593" t="s">
        <v>28</v>
      </c>
      <c r="H1593">
        <v>100</v>
      </c>
      <c r="I1593">
        <v>20</v>
      </c>
      <c r="K1593">
        <v>107</v>
      </c>
      <c r="L1593">
        <v>4.7</v>
      </c>
      <c r="M1593">
        <v>136</v>
      </c>
      <c r="N1593">
        <v>4.9</v>
      </c>
      <c r="O1593">
        <v>6.7</v>
      </c>
      <c r="R1593">
        <v>1.3</v>
      </c>
      <c r="S1593">
        <v>2.5</v>
      </c>
      <c r="U1593">
        <v>80</v>
      </c>
      <c r="V1593">
        <v>4843</v>
      </c>
      <c r="W1593">
        <v>50</v>
      </c>
      <c r="X1593" t="s">
        <v>757</v>
      </c>
    </row>
    <row r="1594" spans="1:24">
      <c r="A1594" t="str">
        <f>Hyperlink("https://www.diodes.com/part/view/DMTH10H4M5LPSWQ","DMTH10H4M5LPSWQ")</f>
        <v>DMTH10H4M5LPSWQ</v>
      </c>
      <c r="B1594" t="str">
        <f>Hyperlink("https://www.diodes.com/assets/Datasheets/DMTH10H4M5LPSWQ.pdf","DMTH10H4M5LPSWQ Datasheet")</f>
        <v>DMTH10H4M5LPSWQ Datasheet</v>
      </c>
      <c r="C1594" t="s">
        <v>980</v>
      </c>
      <c r="D1594" t="s">
        <v>25</v>
      </c>
      <c r="E1594" t="s">
        <v>33</v>
      </c>
      <c r="F1594" t="s">
        <v>27</v>
      </c>
      <c r="G1594" t="s">
        <v>28</v>
      </c>
      <c r="H1594">
        <v>100</v>
      </c>
      <c r="I1594">
        <v>20</v>
      </c>
      <c r="K1594">
        <v>107</v>
      </c>
      <c r="L1594">
        <v>4.7</v>
      </c>
      <c r="M1594">
        <v>136</v>
      </c>
      <c r="N1594">
        <v>4.9</v>
      </c>
      <c r="O1594">
        <v>6.7</v>
      </c>
      <c r="R1594">
        <v>1.3</v>
      </c>
      <c r="S1594">
        <v>2.5</v>
      </c>
      <c r="U1594">
        <v>80</v>
      </c>
      <c r="V1594">
        <v>4843</v>
      </c>
      <c r="W1594">
        <v>50</v>
      </c>
      <c r="X1594" t="s">
        <v>757</v>
      </c>
    </row>
    <row r="1595" spans="1:24">
      <c r="A1595" t="str">
        <f>Hyperlink("https://www.diodes.com/part/view/DMTH10H4M6SPS","DMTH10H4M6SPS")</f>
        <v>DMTH10H4M6SPS</v>
      </c>
      <c r="B1595" t="str">
        <f>Hyperlink("https://www.diodes.com/assets/Datasheets/DMTH10H4M6SPS.pdf","DMTH10H4M6SPS Datasheet")</f>
        <v>DMTH10H4M6SPS Datasheet</v>
      </c>
      <c r="C1595" t="s">
        <v>754</v>
      </c>
      <c r="D1595" t="s">
        <v>25</v>
      </c>
      <c r="E1595" t="s">
        <v>26</v>
      </c>
      <c r="F1595" t="s">
        <v>27</v>
      </c>
      <c r="G1595" t="s">
        <v>28</v>
      </c>
      <c r="H1595">
        <v>100</v>
      </c>
      <c r="I1595">
        <v>20</v>
      </c>
      <c r="J1595">
        <v>17</v>
      </c>
      <c r="K1595">
        <v>118.8</v>
      </c>
      <c r="L1595">
        <v>2.7</v>
      </c>
      <c r="M1595">
        <v>136</v>
      </c>
      <c r="N1595">
        <v>4.6</v>
      </c>
      <c r="S1595">
        <v>4</v>
      </c>
      <c r="U1595">
        <v>66</v>
      </c>
      <c r="V1595">
        <v>4327</v>
      </c>
      <c r="W1595">
        <v>50</v>
      </c>
      <c r="X1595" t="s">
        <v>617</v>
      </c>
    </row>
    <row r="1596" spans="1:24">
      <c r="A1596" t="str">
        <f>Hyperlink("https://www.diodes.com/part/view/DMTH10H4M6SPSW","DMTH10H4M6SPSW")</f>
        <v>DMTH10H4M6SPSW</v>
      </c>
      <c r="B1596" t="str">
        <f>Hyperlink("https://www.diodes.com/assets/Datasheets/DMTH10H4M6SPSW.pdf","DMTH10H4M6SPSW Datasheet")</f>
        <v>DMTH10H4M6SPSW Datasheet</v>
      </c>
      <c r="C1596" t="s">
        <v>976</v>
      </c>
      <c r="D1596" t="s">
        <v>25</v>
      </c>
      <c r="E1596" t="s">
        <v>26</v>
      </c>
      <c r="F1596" t="s">
        <v>27</v>
      </c>
      <c r="G1596" t="s">
        <v>28</v>
      </c>
      <c r="H1596">
        <v>100</v>
      </c>
      <c r="I1596">
        <v>20</v>
      </c>
      <c r="J1596">
        <v>21</v>
      </c>
      <c r="K1596">
        <v>115</v>
      </c>
      <c r="L1596">
        <v>4.7</v>
      </c>
      <c r="M1596">
        <v>136</v>
      </c>
      <c r="N1596">
        <v>4.9</v>
      </c>
      <c r="R1596">
        <v>2</v>
      </c>
      <c r="S1596">
        <v>4</v>
      </c>
      <c r="U1596">
        <v>66</v>
      </c>
      <c r="V1596">
        <v>4327</v>
      </c>
      <c r="W1596">
        <v>50</v>
      </c>
      <c r="X1596" t="s">
        <v>757</v>
      </c>
    </row>
    <row r="1597" spans="1:24">
      <c r="A1597" t="str">
        <f>Hyperlink("https://www.diodes.com/part/view/DMTH10H4M6SPSWQ","DMTH10H4M6SPSWQ")</f>
        <v>DMTH10H4M6SPSWQ</v>
      </c>
      <c r="B1597" t="str">
        <f>Hyperlink("https://www.diodes.com/assets/Datasheets/DMTH10H4M6SPSWQ.pdf","DMTH10H4M6SPSWQ Datasheet")</f>
        <v>DMTH10H4M6SPSWQ Datasheet</v>
      </c>
      <c r="C1597" t="s">
        <v>976</v>
      </c>
      <c r="D1597" t="s">
        <v>25</v>
      </c>
      <c r="E1597" t="s">
        <v>33</v>
      </c>
      <c r="F1597" t="s">
        <v>27</v>
      </c>
      <c r="G1597" t="s">
        <v>28</v>
      </c>
      <c r="H1597">
        <v>100</v>
      </c>
      <c r="I1597">
        <v>20</v>
      </c>
      <c r="J1597">
        <v>21</v>
      </c>
      <c r="K1597">
        <v>115</v>
      </c>
      <c r="L1597">
        <v>4.7</v>
      </c>
      <c r="M1597">
        <v>136</v>
      </c>
      <c r="N1597">
        <v>4.9</v>
      </c>
      <c r="R1597">
        <v>2</v>
      </c>
      <c r="S1597">
        <v>4</v>
      </c>
      <c r="U1597">
        <v>66</v>
      </c>
      <c r="V1597">
        <v>4327</v>
      </c>
      <c r="W1597">
        <v>50</v>
      </c>
      <c r="X1597" t="s">
        <v>757</v>
      </c>
    </row>
    <row r="1598" spans="1:24">
      <c r="A1598" t="str">
        <f>Hyperlink("https://www.diodes.com/part/view/DMTH12H007SK3","DMTH12H007SK3")</f>
        <v>DMTH12H007SK3</v>
      </c>
      <c r="B1598" t="str">
        <f>Hyperlink("https://www.diodes.com/assets/Datasheets/DMTH12H007SK3.pdf","DMTH12H007SK3 Datasheet")</f>
        <v>DMTH12H007SK3 Datasheet</v>
      </c>
      <c r="C1598" t="s">
        <v>989</v>
      </c>
      <c r="D1598" t="s">
        <v>28</v>
      </c>
      <c r="E1598" t="s">
        <v>26</v>
      </c>
      <c r="F1598" t="s">
        <v>27</v>
      </c>
      <c r="G1598" t="s">
        <v>28</v>
      </c>
      <c r="H1598">
        <v>120</v>
      </c>
      <c r="I1598">
        <v>20</v>
      </c>
      <c r="K1598">
        <v>86</v>
      </c>
      <c r="L1598">
        <v>75</v>
      </c>
      <c r="N1598">
        <v>8.9</v>
      </c>
      <c r="R1598">
        <v>2</v>
      </c>
      <c r="S1598">
        <v>4</v>
      </c>
      <c r="U1598">
        <v>44</v>
      </c>
      <c r="V1598">
        <v>3142</v>
      </c>
      <c r="W1598">
        <v>60</v>
      </c>
      <c r="X1598" t="s">
        <v>507</v>
      </c>
    </row>
    <row r="1599" spans="1:24">
      <c r="A1599" t="str">
        <f>Hyperlink("https://www.diodes.com/part/view/DMTH12H007SPS","DMTH12H007SPS")</f>
        <v>DMTH12H007SPS</v>
      </c>
      <c r="B1599" t="str">
        <f>Hyperlink("https://www.diodes.com/assets/Datasheets/DMTH12H007SPS.pdf","DMTH12H007SPS Datasheet")</f>
        <v>DMTH12H007SPS Datasheet</v>
      </c>
      <c r="C1599" t="s">
        <v>990</v>
      </c>
      <c r="D1599" t="s">
        <v>28</v>
      </c>
      <c r="E1599" t="s">
        <v>26</v>
      </c>
      <c r="F1599" t="s">
        <v>27</v>
      </c>
      <c r="G1599" t="s">
        <v>28</v>
      </c>
      <c r="H1599">
        <v>120</v>
      </c>
      <c r="I1599">
        <v>20</v>
      </c>
      <c r="K1599">
        <v>84</v>
      </c>
      <c r="L1599">
        <v>3.5</v>
      </c>
      <c r="M1599">
        <v>125</v>
      </c>
      <c r="N1599">
        <v>8.9</v>
      </c>
      <c r="S1599">
        <v>4</v>
      </c>
      <c r="U1599">
        <v>44</v>
      </c>
      <c r="V1599">
        <v>3142</v>
      </c>
      <c r="W1599">
        <v>60</v>
      </c>
      <c r="X1599" t="s">
        <v>617</v>
      </c>
    </row>
    <row r="1600" spans="1:24">
      <c r="A1600" t="str">
        <f>Hyperlink("https://www.diodes.com/part/view/DMTH12H007SPSW","DMTH12H007SPSW")</f>
        <v>DMTH12H007SPSW</v>
      </c>
      <c r="B1600" t="str">
        <f>Hyperlink("https://www.diodes.com/assets/Datasheets/DMTH12H007SPSW.pdf","DMTH12H007SPSW Datasheet")</f>
        <v>DMTH12H007SPSW Datasheet</v>
      </c>
      <c r="C1600" t="s">
        <v>990</v>
      </c>
      <c r="D1600" t="s">
        <v>25</v>
      </c>
      <c r="E1600" t="s">
        <v>26</v>
      </c>
      <c r="F1600" t="s">
        <v>27</v>
      </c>
      <c r="G1600" t="s">
        <v>28</v>
      </c>
      <c r="H1600">
        <v>120</v>
      </c>
      <c r="I1600">
        <v>20</v>
      </c>
      <c r="K1600">
        <v>84</v>
      </c>
      <c r="L1600">
        <v>3.5</v>
      </c>
      <c r="M1600">
        <v>125</v>
      </c>
      <c r="N1600">
        <v>8.9</v>
      </c>
      <c r="R1600">
        <v>2</v>
      </c>
      <c r="S1600">
        <v>4</v>
      </c>
      <c r="U1600">
        <v>44</v>
      </c>
      <c r="V1600">
        <v>3142</v>
      </c>
      <c r="W1600">
        <v>60</v>
      </c>
      <c r="X1600" t="s">
        <v>757</v>
      </c>
    </row>
    <row r="1601" spans="1:24">
      <c r="A1601" t="str">
        <f>Hyperlink("https://www.diodes.com/part/view/DMTH12H007SPSWQ","DMTH12H007SPSWQ")</f>
        <v>DMTH12H007SPSWQ</v>
      </c>
      <c r="B1601" t="str">
        <f>Hyperlink("https://www.diodes.com/assets/Datasheets/DMTH12H007SPSWQ.pdf","DMTH12H007SPSWQ Datasheet")</f>
        <v>DMTH12H007SPSWQ Datasheet</v>
      </c>
      <c r="C1601" t="s">
        <v>990</v>
      </c>
      <c r="D1601" t="s">
        <v>25</v>
      </c>
      <c r="E1601" t="s">
        <v>33</v>
      </c>
      <c r="F1601" t="s">
        <v>27</v>
      </c>
      <c r="G1601" t="s">
        <v>28</v>
      </c>
      <c r="H1601">
        <v>120</v>
      </c>
      <c r="I1601">
        <v>20</v>
      </c>
      <c r="K1601">
        <v>84</v>
      </c>
      <c r="L1601">
        <v>3.5</v>
      </c>
      <c r="M1601">
        <v>125</v>
      </c>
      <c r="N1601">
        <v>8.9</v>
      </c>
      <c r="R1601">
        <v>2</v>
      </c>
      <c r="S1601">
        <v>4</v>
      </c>
      <c r="U1601">
        <v>44</v>
      </c>
      <c r="V1601">
        <v>3142</v>
      </c>
      <c r="W1601">
        <v>60</v>
      </c>
      <c r="X1601" t="s">
        <v>757</v>
      </c>
    </row>
    <row r="1602" spans="1:24">
      <c r="A1602" t="str">
        <f>Hyperlink("https://www.diodes.com/part/view/DMTH15H017LPSW","DMTH15H017LPSW")</f>
        <v>DMTH15H017LPSW</v>
      </c>
      <c r="B1602" t="str">
        <f>Hyperlink("https://www.diodes.com/assets/Datasheets/DMTH15H017LPSW.pdf","DMTH15H017LPSW Datasheet")</f>
        <v>DMTH15H017LPSW Datasheet</v>
      </c>
      <c r="C1602" t="s">
        <v>991</v>
      </c>
      <c r="D1602" t="s">
        <v>25</v>
      </c>
      <c r="E1602" t="s">
        <v>26</v>
      </c>
      <c r="F1602" t="s">
        <v>27</v>
      </c>
      <c r="G1602" t="s">
        <v>28</v>
      </c>
      <c r="H1602">
        <v>150</v>
      </c>
      <c r="I1602">
        <v>20</v>
      </c>
      <c r="J1602">
        <v>8</v>
      </c>
      <c r="K1602">
        <v>50</v>
      </c>
      <c r="L1602">
        <v>2.8</v>
      </c>
      <c r="M1602">
        <v>107</v>
      </c>
      <c r="N1602">
        <v>17.5</v>
      </c>
      <c r="O1602">
        <v>25.5</v>
      </c>
      <c r="R1602">
        <v>1.3</v>
      </c>
      <c r="S1602">
        <v>2.6</v>
      </c>
      <c r="U1602">
        <v>50</v>
      </c>
      <c r="V1602">
        <v>3369</v>
      </c>
      <c r="W1602">
        <v>75</v>
      </c>
      <c r="X1602" t="s">
        <v>757</v>
      </c>
    </row>
    <row r="1603" spans="1:24">
      <c r="A1603" t="str">
        <f>Hyperlink("https://www.diodes.com/part/view/DMTH15H017LPSWQ","DMTH15H017LPSWQ")</f>
        <v>DMTH15H017LPSWQ</v>
      </c>
      <c r="B1603" t="str">
        <f>Hyperlink("https://www.diodes.com/assets/Datasheets/DMTH15H017LPSWQ.pdf","DMTH15H017LPSWQ Datasheet")</f>
        <v>DMTH15H017LPSWQ Datasheet</v>
      </c>
      <c r="C1603" t="s">
        <v>992</v>
      </c>
      <c r="D1603" t="s">
        <v>25</v>
      </c>
      <c r="E1603" t="s">
        <v>33</v>
      </c>
      <c r="F1603" t="s">
        <v>27</v>
      </c>
      <c r="G1603" t="s">
        <v>28</v>
      </c>
      <c r="H1603">
        <v>150</v>
      </c>
      <c r="I1603">
        <v>20</v>
      </c>
      <c r="J1603">
        <v>8</v>
      </c>
      <c r="K1603">
        <v>50</v>
      </c>
      <c r="L1603">
        <v>2.8</v>
      </c>
      <c r="M1603">
        <v>107</v>
      </c>
      <c r="N1603">
        <v>17.5</v>
      </c>
      <c r="O1603">
        <v>25.5</v>
      </c>
      <c r="R1603">
        <v>1.3</v>
      </c>
      <c r="S1603">
        <v>2.6</v>
      </c>
      <c r="U1603">
        <v>50</v>
      </c>
      <c r="V1603">
        <v>3369</v>
      </c>
      <c r="W1603">
        <v>75</v>
      </c>
      <c r="X1603" t="s">
        <v>757</v>
      </c>
    </row>
    <row r="1604" spans="1:24">
      <c r="A1604" t="str">
        <f>Hyperlink("https://www.diodes.com/part/view/DMTH15H017SPS","DMTH15H017SPS")</f>
        <v>DMTH15H017SPS</v>
      </c>
      <c r="B1604" t="str">
        <f>Hyperlink("https://www.diodes.com/assets/Datasheets/DMTH15H017SPS.pdf","DMTH15H017SPS Datasheet")</f>
        <v>DMTH15H017SPS Datasheet</v>
      </c>
      <c r="C1604" t="s">
        <v>992</v>
      </c>
      <c r="D1604" t="s">
        <v>25</v>
      </c>
      <c r="E1604" t="s">
        <v>26</v>
      </c>
      <c r="F1604" t="s">
        <v>27</v>
      </c>
      <c r="G1604" t="s">
        <v>28</v>
      </c>
      <c r="H1604">
        <v>150</v>
      </c>
      <c r="I1604">
        <v>20</v>
      </c>
      <c r="J1604">
        <v>11</v>
      </c>
      <c r="K1604">
        <v>61</v>
      </c>
      <c r="L1604">
        <v>3.2</v>
      </c>
      <c r="M1604">
        <v>107</v>
      </c>
      <c r="N1604">
        <v>19</v>
      </c>
      <c r="S1604">
        <v>4</v>
      </c>
      <c r="U1604">
        <v>34</v>
      </c>
      <c r="V1604">
        <v>2344</v>
      </c>
      <c r="W1604">
        <v>75</v>
      </c>
      <c r="X1604" t="s">
        <v>617</v>
      </c>
    </row>
    <row r="1605" spans="1:24">
      <c r="A1605" t="str">
        <f>Hyperlink("https://www.diodes.com/part/view/DMTH15H017SPSW","DMTH15H017SPSW")</f>
        <v>DMTH15H017SPSW</v>
      </c>
      <c r="B1605" t="str">
        <f>Hyperlink("https://www.diodes.com/assets/Datasheets/DMTH15H017SPSW.pdf","DMTH15H017SPSW Datasheet")</f>
        <v>DMTH15H017SPSW Datasheet</v>
      </c>
      <c r="C1605" t="s">
        <v>992</v>
      </c>
      <c r="D1605" t="s">
        <v>25</v>
      </c>
      <c r="E1605" t="s">
        <v>26</v>
      </c>
      <c r="F1605" t="s">
        <v>27</v>
      </c>
      <c r="G1605" t="s">
        <v>28</v>
      </c>
      <c r="H1605">
        <v>150</v>
      </c>
      <c r="I1605">
        <v>20</v>
      </c>
      <c r="J1605">
        <v>11</v>
      </c>
      <c r="K1605">
        <v>61</v>
      </c>
      <c r="L1605">
        <v>3.2</v>
      </c>
      <c r="M1605">
        <v>107</v>
      </c>
      <c r="N1605">
        <v>19</v>
      </c>
      <c r="R1605">
        <v>2</v>
      </c>
      <c r="S1605">
        <v>4</v>
      </c>
      <c r="U1605">
        <v>34</v>
      </c>
      <c r="V1605">
        <v>2344</v>
      </c>
      <c r="W1605">
        <v>75</v>
      </c>
      <c r="X1605" t="s">
        <v>757</v>
      </c>
    </row>
    <row r="1606" spans="1:24">
      <c r="A1606" t="str">
        <f>Hyperlink("https://www.diodes.com/part/view/DMTH15H017SPSWQ","DMTH15H017SPSWQ")</f>
        <v>DMTH15H017SPSWQ</v>
      </c>
      <c r="B1606" t="str">
        <f>Hyperlink("https://www.diodes.com/assets/Datasheets/DMTH15H017SPSWQ.pdf","DMTH15H017SPSWQ Datasheet")</f>
        <v>DMTH15H017SPSWQ Datasheet</v>
      </c>
      <c r="C1606" t="s">
        <v>992</v>
      </c>
      <c r="D1606" t="s">
        <v>25</v>
      </c>
      <c r="E1606" t="s">
        <v>33</v>
      </c>
      <c r="F1606" t="s">
        <v>27</v>
      </c>
      <c r="G1606" t="s">
        <v>28</v>
      </c>
      <c r="H1606">
        <v>150</v>
      </c>
      <c r="I1606">
        <v>20</v>
      </c>
      <c r="J1606">
        <v>11</v>
      </c>
      <c r="K1606">
        <v>61</v>
      </c>
      <c r="L1606">
        <v>3.2</v>
      </c>
      <c r="M1606">
        <v>107</v>
      </c>
      <c r="N1606">
        <v>19</v>
      </c>
      <c r="R1606">
        <v>2</v>
      </c>
      <c r="S1606">
        <v>4</v>
      </c>
      <c r="U1606">
        <v>34</v>
      </c>
      <c r="V1606">
        <v>2344</v>
      </c>
      <c r="W1606">
        <v>75</v>
      </c>
      <c r="X1606" t="s">
        <v>757</v>
      </c>
    </row>
    <row r="1607" spans="1:24">
      <c r="A1607" t="str">
        <f>Hyperlink("https://www.diodes.com/part/view/DMTH15H053SPSW","DMTH15H053SPSW")</f>
        <v>DMTH15H053SPSW</v>
      </c>
      <c r="B1607" t="str">
        <f>Hyperlink("https://www.diodes.com/assets/Datasheets/DMTH15H053SPSW.pdf","DMTH15H053SPSW Datasheet")</f>
        <v>DMTH15H053SPSW Datasheet</v>
      </c>
      <c r="C1607" t="s">
        <v>993</v>
      </c>
      <c r="D1607" t="s">
        <v>25</v>
      </c>
      <c r="E1607" t="s">
        <v>26</v>
      </c>
      <c r="F1607" t="s">
        <v>27</v>
      </c>
      <c r="G1607" t="s">
        <v>28</v>
      </c>
      <c r="H1607">
        <v>150</v>
      </c>
      <c r="I1607">
        <v>20</v>
      </c>
      <c r="K1607">
        <v>25</v>
      </c>
      <c r="L1607">
        <v>4</v>
      </c>
      <c r="M1607">
        <v>107</v>
      </c>
      <c r="N1607">
        <v>66</v>
      </c>
      <c r="R1607">
        <v>2</v>
      </c>
      <c r="S1607">
        <v>4</v>
      </c>
      <c r="U1607">
        <v>11.5</v>
      </c>
      <c r="V1607">
        <v>814</v>
      </c>
      <c r="W1607">
        <v>75</v>
      </c>
      <c r="X1607" t="s">
        <v>757</v>
      </c>
    </row>
    <row r="1608" spans="1:24">
      <c r="A1608" t="str">
        <f>Hyperlink("https://www.diodes.com/part/view/DMTH15H053SPSWQ","DMTH15H053SPSWQ")</f>
        <v>DMTH15H053SPSWQ</v>
      </c>
      <c r="B1608" t="str">
        <f>Hyperlink("https://www.diodes.com/assets/Datasheets/DMTH15H053SPSWQ.pdf","DMTH15H053SPSWQ Datasheet")</f>
        <v>DMTH15H053SPSWQ Datasheet</v>
      </c>
      <c r="C1608" t="s">
        <v>993</v>
      </c>
      <c r="D1608" t="s">
        <v>25</v>
      </c>
      <c r="E1608" t="s">
        <v>33</v>
      </c>
      <c r="F1608" t="s">
        <v>27</v>
      </c>
      <c r="G1608" t="s">
        <v>28</v>
      </c>
      <c r="H1608">
        <v>150</v>
      </c>
      <c r="I1608">
        <v>20</v>
      </c>
      <c r="K1608">
        <v>25</v>
      </c>
      <c r="L1608">
        <v>4</v>
      </c>
      <c r="M1608">
        <v>107</v>
      </c>
      <c r="N1608">
        <v>66</v>
      </c>
      <c r="R1608">
        <v>2</v>
      </c>
      <c r="S1608">
        <v>4</v>
      </c>
      <c r="U1608">
        <v>11.5</v>
      </c>
      <c r="V1608">
        <v>814</v>
      </c>
      <c r="W1608">
        <v>75</v>
      </c>
      <c r="X1608" t="s">
        <v>757</v>
      </c>
    </row>
    <row r="1609" spans="1:24">
      <c r="A1609" t="str">
        <f>Hyperlink("https://www.diodes.com/part/view/DMTH3002LK3","DMTH3002LK3")</f>
        <v>DMTH3002LK3</v>
      </c>
      <c r="B1609" t="str">
        <f>Hyperlink("https://www.diodes.com/assets/Datasheets/DMTH3002LK3.pdf","DMTH3002LK3 Datasheet")</f>
        <v>DMTH3002LK3 Datasheet</v>
      </c>
      <c r="C1609" t="s">
        <v>994</v>
      </c>
      <c r="D1609" t="s">
        <v>28</v>
      </c>
      <c r="E1609" t="s">
        <v>26</v>
      </c>
      <c r="F1609" t="s">
        <v>27</v>
      </c>
      <c r="G1609" t="s">
        <v>28</v>
      </c>
      <c r="H1609">
        <v>30</v>
      </c>
      <c r="I1609">
        <v>16</v>
      </c>
      <c r="K1609">
        <v>150</v>
      </c>
      <c r="L1609">
        <v>3.1</v>
      </c>
      <c r="N1609">
        <v>2.45</v>
      </c>
      <c r="O1609">
        <v>3.5</v>
      </c>
      <c r="S1609">
        <v>2</v>
      </c>
      <c r="T1609">
        <v>30</v>
      </c>
      <c r="U1609">
        <v>69</v>
      </c>
      <c r="V1609">
        <v>4336</v>
      </c>
      <c r="W1609">
        <v>15</v>
      </c>
      <c r="X1609" t="s">
        <v>507</v>
      </c>
    </row>
    <row r="1610" spans="1:24">
      <c r="A1610" t="str">
        <f>Hyperlink("https://www.diodes.com/part/view/DMTH3002LPS","DMTH3002LPS")</f>
        <v>DMTH3002LPS</v>
      </c>
      <c r="B1610" t="str">
        <f>Hyperlink("https://www.diodes.com/assets/Datasheets/DMTH3002LPS.pdf","DMTH3002LPS Datasheet")</f>
        <v>DMTH3002LPS Datasheet</v>
      </c>
      <c r="C1610" t="s">
        <v>995</v>
      </c>
      <c r="D1610" t="s">
        <v>25</v>
      </c>
      <c r="E1610" t="s">
        <v>26</v>
      </c>
      <c r="F1610" t="s">
        <v>27</v>
      </c>
      <c r="G1610" t="s">
        <v>28</v>
      </c>
      <c r="H1610">
        <v>30</v>
      </c>
      <c r="I1610">
        <v>16</v>
      </c>
      <c r="K1610">
        <v>240</v>
      </c>
      <c r="L1610">
        <v>2.5</v>
      </c>
      <c r="M1610">
        <v>136</v>
      </c>
      <c r="N1610">
        <v>1.6</v>
      </c>
      <c r="O1610">
        <v>2.5</v>
      </c>
      <c r="S1610">
        <v>2</v>
      </c>
      <c r="T1610">
        <v>37</v>
      </c>
      <c r="U1610">
        <v>77</v>
      </c>
      <c r="V1610">
        <v>5000</v>
      </c>
      <c r="W1610">
        <v>15</v>
      </c>
      <c r="X1610" t="s">
        <v>617</v>
      </c>
    </row>
    <row r="1611" spans="1:24">
      <c r="A1611" t="str">
        <f>Hyperlink("https://www.diodes.com/part/view/DMTH3004LFG","DMTH3004LFG")</f>
        <v>DMTH3004LFG</v>
      </c>
      <c r="B1611" t="str">
        <f>Hyperlink("https://www.diodes.com/assets/Datasheets/DMTH3004LFG.pdf","DMTH3004LFG Datasheet")</f>
        <v>DMTH3004LFG Datasheet</v>
      </c>
      <c r="C1611" t="s">
        <v>24</v>
      </c>
      <c r="D1611" t="s">
        <v>25</v>
      </c>
      <c r="E1611" t="s">
        <v>26</v>
      </c>
      <c r="F1611" t="s">
        <v>27</v>
      </c>
      <c r="G1611" t="s">
        <v>28</v>
      </c>
      <c r="H1611">
        <v>30</v>
      </c>
      <c r="I1611">
        <v>16</v>
      </c>
      <c r="J1611">
        <v>15</v>
      </c>
      <c r="K1611">
        <v>75</v>
      </c>
      <c r="L1611">
        <v>2.5</v>
      </c>
      <c r="M1611">
        <v>50</v>
      </c>
      <c r="N1611">
        <v>5.5</v>
      </c>
      <c r="O1611">
        <v>8.5</v>
      </c>
      <c r="S1611">
        <v>3</v>
      </c>
      <c r="T1611">
        <v>20</v>
      </c>
      <c r="U1611">
        <v>44</v>
      </c>
      <c r="V1611">
        <v>2370</v>
      </c>
      <c r="W1611">
        <v>15</v>
      </c>
      <c r="X1611" t="s">
        <v>529</v>
      </c>
    </row>
    <row r="1612" spans="1:24">
      <c r="A1612" t="str">
        <f>Hyperlink("https://www.diodes.com/part/view/DMTH3004LFGQ","DMTH3004LFGQ")</f>
        <v>DMTH3004LFGQ</v>
      </c>
      <c r="B1612" t="str">
        <f>Hyperlink("https://www.diodes.com/assets/Datasheets/DMTH3004LFGQ.pdf","DMTH3004LFGQ Datasheet")</f>
        <v>DMTH3004LFGQ Datasheet</v>
      </c>
      <c r="C1612" t="s">
        <v>994</v>
      </c>
      <c r="D1612" t="s">
        <v>25</v>
      </c>
      <c r="E1612" t="s">
        <v>33</v>
      </c>
      <c r="F1612" t="s">
        <v>27</v>
      </c>
      <c r="G1612" t="s">
        <v>28</v>
      </c>
      <c r="H1612">
        <v>30</v>
      </c>
      <c r="I1612">
        <v>16</v>
      </c>
      <c r="J1612">
        <v>15</v>
      </c>
      <c r="K1612">
        <v>75</v>
      </c>
      <c r="L1612">
        <v>2.5</v>
      </c>
      <c r="M1612">
        <v>50</v>
      </c>
      <c r="N1612">
        <v>5.5</v>
      </c>
      <c r="O1612">
        <v>8.5</v>
      </c>
      <c r="S1612">
        <v>3</v>
      </c>
      <c r="T1612">
        <v>20</v>
      </c>
      <c r="U1612">
        <v>44</v>
      </c>
      <c r="V1612">
        <v>2370</v>
      </c>
      <c r="W1612">
        <v>15</v>
      </c>
      <c r="X1612" t="s">
        <v>529</v>
      </c>
    </row>
    <row r="1613" spans="1:24">
      <c r="A1613" t="str">
        <f>Hyperlink("https://www.diodes.com/part/view/DMTH3004LK3","DMTH3004LK3")</f>
        <v>DMTH3004LK3</v>
      </c>
      <c r="B1613" t="str">
        <f>Hyperlink("https://www.diodes.com/assets/Datasheets/DMTH3004LK3.pdf","DMTH3004LK3 Datasheet")</f>
        <v>DMTH3004LK3 Datasheet</v>
      </c>
      <c r="C1613" t="s">
        <v>994</v>
      </c>
      <c r="D1613" t="s">
        <v>25</v>
      </c>
      <c r="E1613" t="s">
        <v>26</v>
      </c>
      <c r="F1613" t="s">
        <v>27</v>
      </c>
      <c r="G1613" t="s">
        <v>28</v>
      </c>
      <c r="H1613">
        <v>30</v>
      </c>
      <c r="I1613" t="s">
        <v>926</v>
      </c>
      <c r="J1613">
        <v>21</v>
      </c>
      <c r="K1613">
        <v>75</v>
      </c>
      <c r="L1613">
        <v>3</v>
      </c>
      <c r="M1613">
        <v>107</v>
      </c>
      <c r="N1613">
        <v>4</v>
      </c>
      <c r="O1613">
        <v>7</v>
      </c>
      <c r="S1613">
        <v>3</v>
      </c>
      <c r="T1613">
        <v>20</v>
      </c>
      <c r="U1613">
        <v>44</v>
      </c>
      <c r="V1613">
        <v>2370</v>
      </c>
      <c r="W1613">
        <v>15</v>
      </c>
      <c r="X1613" t="s">
        <v>507</v>
      </c>
    </row>
    <row r="1614" spans="1:24">
      <c r="A1614" t="str">
        <f>Hyperlink("https://www.diodes.com/part/view/DMTH3004LK3Q","DMTH3004LK3Q")</f>
        <v>DMTH3004LK3Q</v>
      </c>
      <c r="B1614" t="str">
        <f>Hyperlink("https://www.diodes.com/assets/Datasheets/DMTH3004LK3Q.pdf","DMTH3004LK3Q Datasheet")</f>
        <v>DMTH3004LK3Q Datasheet</v>
      </c>
      <c r="C1614" t="s">
        <v>994</v>
      </c>
      <c r="D1614" t="s">
        <v>25</v>
      </c>
      <c r="E1614" t="s">
        <v>33</v>
      </c>
      <c r="F1614" t="s">
        <v>27</v>
      </c>
      <c r="G1614" t="s">
        <v>28</v>
      </c>
      <c r="H1614">
        <v>30</v>
      </c>
      <c r="I1614" t="s">
        <v>926</v>
      </c>
      <c r="J1614">
        <v>21</v>
      </c>
      <c r="K1614">
        <v>75</v>
      </c>
      <c r="M1614">
        <v>107</v>
      </c>
      <c r="N1614">
        <v>4</v>
      </c>
      <c r="O1614">
        <v>7</v>
      </c>
      <c r="S1614">
        <v>3</v>
      </c>
      <c r="T1614">
        <v>20</v>
      </c>
      <c r="U1614">
        <v>44</v>
      </c>
      <c r="V1614">
        <v>2370</v>
      </c>
      <c r="W1614">
        <v>15</v>
      </c>
      <c r="X1614" t="s">
        <v>507</v>
      </c>
    </row>
    <row r="1615" spans="1:24">
      <c r="A1615" t="str">
        <f>Hyperlink("https://www.diodes.com/part/view/DMTH3004LPS","DMTH3004LPS")</f>
        <v>DMTH3004LPS</v>
      </c>
      <c r="B1615" t="str">
        <f>Hyperlink("https://www.diodes.com/assets/Datasheets/DMTH3004LPS.pdf","DMTH3004LPS Datasheet")</f>
        <v>DMTH3004LPS Datasheet</v>
      </c>
      <c r="C1615" t="s">
        <v>994</v>
      </c>
      <c r="D1615" t="s">
        <v>25</v>
      </c>
      <c r="E1615" t="s">
        <v>26</v>
      </c>
      <c r="F1615" t="s">
        <v>27</v>
      </c>
      <c r="G1615" t="s">
        <v>28</v>
      </c>
      <c r="H1615">
        <v>30</v>
      </c>
      <c r="I1615" t="s">
        <v>926</v>
      </c>
      <c r="J1615">
        <v>22</v>
      </c>
      <c r="K1615">
        <v>145</v>
      </c>
      <c r="L1615">
        <v>3.2</v>
      </c>
      <c r="M1615">
        <v>136</v>
      </c>
      <c r="N1615">
        <v>3.8</v>
      </c>
      <c r="O1615">
        <v>6</v>
      </c>
      <c r="S1615">
        <v>3</v>
      </c>
      <c r="U1615">
        <v>43.7</v>
      </c>
      <c r="V1615">
        <v>2370</v>
      </c>
      <c r="W1615">
        <v>15</v>
      </c>
      <c r="X1615" t="s">
        <v>617</v>
      </c>
    </row>
    <row r="1616" spans="1:24">
      <c r="A1616" t="str">
        <f>Hyperlink("https://www.diodes.com/part/view/DMTH3004LPSQ","DMTH3004LPSQ")</f>
        <v>DMTH3004LPSQ</v>
      </c>
      <c r="B1616" t="str">
        <f>Hyperlink("https://www.diodes.com/assets/Datasheets/DMTH3004LPSQ.pdf","DMTH3004LPSQ Datasheet")</f>
        <v>DMTH3004LPSQ Datasheet</v>
      </c>
      <c r="C1616" t="s">
        <v>994</v>
      </c>
      <c r="D1616" t="s">
        <v>25</v>
      </c>
      <c r="E1616" t="s">
        <v>33</v>
      </c>
      <c r="F1616" t="s">
        <v>27</v>
      </c>
      <c r="G1616" t="s">
        <v>28</v>
      </c>
      <c r="H1616">
        <v>30</v>
      </c>
      <c r="I1616" t="s">
        <v>926</v>
      </c>
      <c r="J1616">
        <v>22</v>
      </c>
      <c r="K1616">
        <v>145</v>
      </c>
      <c r="M1616">
        <v>136</v>
      </c>
      <c r="N1616">
        <v>3.8</v>
      </c>
      <c r="O1616">
        <v>6</v>
      </c>
      <c r="S1616">
        <v>3</v>
      </c>
      <c r="U1616">
        <v>43.7</v>
      </c>
      <c r="V1616">
        <v>2370</v>
      </c>
      <c r="W1616">
        <v>15</v>
      </c>
      <c r="X1616" t="s">
        <v>617</v>
      </c>
    </row>
    <row r="1617" spans="1:24">
      <c r="A1617" t="str">
        <f>Hyperlink("https://www.diodes.com/part/view/DMTH31M7LPSQ","DMTH31M7LPSQ")</f>
        <v>DMTH31M7LPSQ</v>
      </c>
      <c r="B1617" t="str">
        <f>Hyperlink("https://www.diodes.com/assets/Datasheets/DMTH31M7LPSQ.pdf","DMTH31M7LPSQ Datasheet")</f>
        <v>DMTH31M7LPSQ Datasheet</v>
      </c>
      <c r="C1617" t="s">
        <v>758</v>
      </c>
      <c r="D1617" t="s">
        <v>25</v>
      </c>
      <c r="E1617" t="s">
        <v>33</v>
      </c>
      <c r="F1617" t="s">
        <v>27</v>
      </c>
      <c r="G1617" t="s">
        <v>28</v>
      </c>
      <c r="H1617">
        <v>30</v>
      </c>
      <c r="I1617">
        <v>16</v>
      </c>
      <c r="J1617">
        <v>30</v>
      </c>
      <c r="K1617">
        <v>100</v>
      </c>
      <c r="L1617">
        <v>2.4</v>
      </c>
      <c r="N1617">
        <v>1.7</v>
      </c>
      <c r="O1617">
        <v>2.4</v>
      </c>
      <c r="S1617">
        <v>3</v>
      </c>
      <c r="T1617">
        <v>45</v>
      </c>
      <c r="U1617">
        <v>90</v>
      </c>
      <c r="V1617">
        <v>5741</v>
      </c>
      <c r="W1617">
        <v>15</v>
      </c>
      <c r="X1617" t="s">
        <v>617</v>
      </c>
    </row>
    <row r="1618" spans="1:24">
      <c r="A1618" t="str">
        <f>Hyperlink("https://www.diodes.com/part/view/DMTH32M5LPS","DMTH32M5LPS")</f>
        <v>DMTH32M5LPS</v>
      </c>
      <c r="B1618" t="str">
        <f>Hyperlink("https://www.diodes.com/assets/Datasheets/DMTH32M5LPS.pdf","DMTH32M5LPS Datasheet")</f>
        <v>DMTH32M5LPS Datasheet</v>
      </c>
      <c r="C1618" t="s">
        <v>994</v>
      </c>
      <c r="D1618" t="s">
        <v>25</v>
      </c>
      <c r="E1618" t="s">
        <v>26</v>
      </c>
      <c r="F1618" t="s">
        <v>27</v>
      </c>
      <c r="G1618" t="s">
        <v>28</v>
      </c>
      <c r="H1618">
        <v>30</v>
      </c>
      <c r="I1618">
        <v>16</v>
      </c>
      <c r="K1618">
        <v>170</v>
      </c>
      <c r="L1618">
        <v>3.2</v>
      </c>
      <c r="M1618">
        <v>100</v>
      </c>
      <c r="N1618">
        <v>2.2</v>
      </c>
      <c r="O1618">
        <v>3.2</v>
      </c>
      <c r="S1618">
        <v>3</v>
      </c>
      <c r="T1618">
        <v>34</v>
      </c>
      <c r="U1618">
        <v>68</v>
      </c>
      <c r="V1618">
        <v>3944</v>
      </c>
      <c r="W1618">
        <v>25</v>
      </c>
      <c r="X1618" t="s">
        <v>617</v>
      </c>
    </row>
    <row r="1619" spans="1:24">
      <c r="A1619" t="str">
        <f>Hyperlink("https://www.diodes.com/part/view/DMTH32M5LPSQ","DMTH32M5LPSQ")</f>
        <v>DMTH32M5LPSQ</v>
      </c>
      <c r="B1619" t="str">
        <f>Hyperlink("https://www.diodes.com/assets/Datasheets/DMTH32M5LPSQ.pdf","DMTH32M5LPSQ Datasheet")</f>
        <v>DMTH32M5LPSQ Datasheet</v>
      </c>
      <c r="C1619" t="s">
        <v>994</v>
      </c>
      <c r="D1619" t="s">
        <v>25</v>
      </c>
      <c r="E1619" t="s">
        <v>33</v>
      </c>
      <c r="F1619" t="s">
        <v>27</v>
      </c>
      <c r="G1619" t="s">
        <v>28</v>
      </c>
      <c r="H1619">
        <v>30</v>
      </c>
      <c r="I1619">
        <v>16</v>
      </c>
      <c r="K1619">
        <v>170</v>
      </c>
      <c r="L1619">
        <v>3.2</v>
      </c>
      <c r="M1619">
        <v>100</v>
      </c>
      <c r="N1619">
        <v>2.2</v>
      </c>
      <c r="O1619">
        <v>3.2</v>
      </c>
      <c r="S1619">
        <v>3</v>
      </c>
      <c r="T1619">
        <v>34</v>
      </c>
      <c r="U1619">
        <v>68</v>
      </c>
      <c r="V1619">
        <v>3944</v>
      </c>
      <c r="W1619">
        <v>25</v>
      </c>
      <c r="X1619" t="s">
        <v>617</v>
      </c>
    </row>
    <row r="1620" spans="1:24">
      <c r="A1620" t="str">
        <f>Hyperlink("https://www.diodes.com/part/view/DMTH4001STLW","DMTH4001STLW")</f>
        <v>DMTH4001STLW</v>
      </c>
      <c r="B1620" t="str">
        <f>Hyperlink("https://www.diodes.com/assets/Datasheets/DMTH4001STLW.pdf","DMTH4001STLW Datasheet")</f>
        <v>DMTH4001STLW Datasheet</v>
      </c>
      <c r="C1620" t="s">
        <v>996</v>
      </c>
      <c r="D1620" t="s">
        <v>28</v>
      </c>
      <c r="E1620" t="s">
        <v>26</v>
      </c>
      <c r="F1620" t="s">
        <v>27</v>
      </c>
      <c r="G1620" t="s">
        <v>28</v>
      </c>
      <c r="H1620">
        <v>40</v>
      </c>
      <c r="I1620">
        <v>20</v>
      </c>
      <c r="K1620">
        <v>300</v>
      </c>
      <c r="L1620">
        <v>6</v>
      </c>
      <c r="M1620">
        <v>300</v>
      </c>
      <c r="N1620">
        <v>0.85</v>
      </c>
      <c r="R1620">
        <v>2</v>
      </c>
      <c r="S1620">
        <v>4</v>
      </c>
      <c r="U1620">
        <v>150</v>
      </c>
      <c r="V1620">
        <v>13185</v>
      </c>
      <c r="W1620">
        <v>20</v>
      </c>
      <c r="X1620" t="s">
        <v>987</v>
      </c>
    </row>
    <row r="1621" spans="1:24">
      <c r="A1621" t="str">
        <f>Hyperlink("https://www.diodes.com/part/view/DMTH4001STLWQ","DMTH4001STLWQ")</f>
        <v>DMTH4001STLWQ</v>
      </c>
      <c r="B1621" t="str">
        <f>Hyperlink("https://www.diodes.com/assets/Datasheets/DMTH4001STLWQ.pdf","DMTH4001STLWQ Datasheet")</f>
        <v>DMTH4001STLWQ Datasheet</v>
      </c>
      <c r="C1621" t="s">
        <v>996</v>
      </c>
      <c r="D1621" t="s">
        <v>25</v>
      </c>
      <c r="E1621" t="s">
        <v>33</v>
      </c>
      <c r="F1621" t="s">
        <v>27</v>
      </c>
      <c r="G1621" t="s">
        <v>28</v>
      </c>
      <c r="H1621">
        <v>40</v>
      </c>
      <c r="I1621">
        <v>20</v>
      </c>
      <c r="K1621">
        <v>300</v>
      </c>
      <c r="L1621">
        <v>6</v>
      </c>
      <c r="M1621">
        <v>300</v>
      </c>
      <c r="N1621">
        <v>0.85</v>
      </c>
      <c r="R1621">
        <v>2</v>
      </c>
      <c r="S1621">
        <v>4</v>
      </c>
      <c r="U1621">
        <v>150</v>
      </c>
      <c r="V1621">
        <v>13185</v>
      </c>
      <c r="W1621">
        <v>20</v>
      </c>
      <c r="X1621" t="s">
        <v>987</v>
      </c>
    </row>
    <row r="1622" spans="1:24">
      <c r="A1622" t="str">
        <f>Hyperlink("https://www.diodes.com/part/view/DMTH4002SCTB","DMTH4002SCTB")</f>
        <v>DMTH4002SCTB</v>
      </c>
      <c r="B1622" t="str">
        <f>Hyperlink("https://www.diodes.com/assets/Datasheets/DMTH4002SCTB.pdf","DMTH4002SCTB Datasheet")</f>
        <v>DMTH4002SCTB Datasheet</v>
      </c>
      <c r="C1622" t="s">
        <v>760</v>
      </c>
      <c r="D1622" t="s">
        <v>28</v>
      </c>
      <c r="E1622" t="s">
        <v>26</v>
      </c>
      <c r="F1622" t="s">
        <v>27</v>
      </c>
      <c r="G1622" t="s">
        <v>28</v>
      </c>
      <c r="H1622">
        <v>40</v>
      </c>
      <c r="I1622">
        <v>20</v>
      </c>
      <c r="K1622">
        <v>192</v>
      </c>
      <c r="L1622">
        <v>6</v>
      </c>
      <c r="M1622">
        <v>166.7</v>
      </c>
      <c r="N1622">
        <v>3</v>
      </c>
      <c r="S1622">
        <v>4</v>
      </c>
      <c r="U1622">
        <v>77.5</v>
      </c>
      <c r="V1622">
        <v>7180</v>
      </c>
      <c r="W1622">
        <v>20</v>
      </c>
      <c r="X1622" t="s">
        <v>722</v>
      </c>
    </row>
    <row r="1623" spans="1:24">
      <c r="A1623" t="str">
        <f>Hyperlink("https://www.diodes.com/part/view/DMTH4002SCTBQ","DMTH4002SCTBQ")</f>
        <v>DMTH4002SCTBQ</v>
      </c>
      <c r="B1623" t="str">
        <f>Hyperlink("https://www.diodes.com/assets/Datasheets/DMTH4002SCTBQ.pdf","DMTH4002SCTBQ Datasheet")</f>
        <v>DMTH4002SCTBQ Datasheet</v>
      </c>
      <c r="C1623" t="s">
        <v>760</v>
      </c>
      <c r="D1623" t="s">
        <v>25</v>
      </c>
      <c r="E1623" t="s">
        <v>33</v>
      </c>
      <c r="F1623" t="s">
        <v>27</v>
      </c>
      <c r="G1623" t="s">
        <v>28</v>
      </c>
      <c r="H1623">
        <v>40</v>
      </c>
      <c r="I1623">
        <v>20</v>
      </c>
      <c r="K1623">
        <v>192</v>
      </c>
      <c r="L1623">
        <v>6</v>
      </c>
      <c r="M1623">
        <v>166.7</v>
      </c>
      <c r="N1623">
        <v>3</v>
      </c>
      <c r="S1623">
        <v>4</v>
      </c>
      <c r="U1623">
        <v>77.5</v>
      </c>
      <c r="V1623">
        <v>7180</v>
      </c>
      <c r="W1623">
        <v>20</v>
      </c>
      <c r="X1623" t="s">
        <v>722</v>
      </c>
    </row>
    <row r="1624" spans="1:24">
      <c r="A1624" t="str">
        <f>Hyperlink("https://www.diodes.com/part/view/DMTH4004LK3","DMTH4004LK3")</f>
        <v>DMTH4004LK3</v>
      </c>
      <c r="B1624" t="str">
        <f>Hyperlink("https://www.diodes.com/assets/Datasheets/DMTH4004LK3.pdf","DMTH4004LK3 Datasheet")</f>
        <v>DMTH4004LK3 Datasheet</v>
      </c>
      <c r="C1624" t="s">
        <v>760</v>
      </c>
      <c r="D1624" t="s">
        <v>25</v>
      </c>
      <c r="E1624" t="s">
        <v>26</v>
      </c>
      <c r="F1624" t="s">
        <v>27</v>
      </c>
      <c r="G1624" t="s">
        <v>28</v>
      </c>
      <c r="H1624">
        <v>40</v>
      </c>
      <c r="I1624">
        <v>20</v>
      </c>
      <c r="K1624">
        <v>100</v>
      </c>
      <c r="L1624">
        <v>3.9</v>
      </c>
      <c r="M1624">
        <v>180</v>
      </c>
      <c r="N1624">
        <v>3</v>
      </c>
      <c r="O1624">
        <v>5</v>
      </c>
      <c r="S1624">
        <v>3</v>
      </c>
      <c r="T1624">
        <v>35</v>
      </c>
      <c r="U1624">
        <v>83</v>
      </c>
      <c r="V1624">
        <v>4450</v>
      </c>
      <c r="W1624">
        <v>25</v>
      </c>
      <c r="X1624" t="s">
        <v>507</v>
      </c>
    </row>
    <row r="1625" spans="1:24">
      <c r="A1625" t="str">
        <f>Hyperlink("https://www.diodes.com/part/view/DMTH4004LK3Q","DMTH4004LK3Q")</f>
        <v>DMTH4004LK3Q</v>
      </c>
      <c r="B1625" t="str">
        <f>Hyperlink("https://www.diodes.com/assets/Datasheets/DMTH4004LK3Q.pdf","DMTH4004LK3Q Datasheet")</f>
        <v>DMTH4004LK3Q Datasheet</v>
      </c>
      <c r="C1625" t="s">
        <v>760</v>
      </c>
      <c r="D1625" t="s">
        <v>25</v>
      </c>
      <c r="E1625" t="s">
        <v>33</v>
      </c>
      <c r="F1625" t="s">
        <v>27</v>
      </c>
      <c r="G1625" t="s">
        <v>28</v>
      </c>
      <c r="H1625">
        <v>40</v>
      </c>
      <c r="I1625">
        <v>20</v>
      </c>
      <c r="K1625">
        <v>100</v>
      </c>
      <c r="L1625">
        <v>3.9</v>
      </c>
      <c r="M1625">
        <v>180</v>
      </c>
      <c r="N1625">
        <v>3</v>
      </c>
      <c r="O1625">
        <v>5</v>
      </c>
      <c r="S1625">
        <v>3</v>
      </c>
      <c r="T1625">
        <v>35</v>
      </c>
      <c r="U1625">
        <v>83</v>
      </c>
      <c r="V1625">
        <v>4450</v>
      </c>
      <c r="W1625">
        <v>25</v>
      </c>
      <c r="X1625" t="s">
        <v>507</v>
      </c>
    </row>
    <row r="1626" spans="1:24">
      <c r="A1626" t="str">
        <f>Hyperlink("https://www.diodes.com/part/view/DMTH4004LPS","DMTH4004LPS")</f>
        <v>DMTH4004LPS</v>
      </c>
      <c r="B1626" t="str">
        <f>Hyperlink("https://www.diodes.com/assets/Datasheets/DMTH4004LPS.pdf","DMTH4004LPS Datasheet")</f>
        <v>DMTH4004LPS Datasheet</v>
      </c>
      <c r="C1626" t="s">
        <v>760</v>
      </c>
      <c r="D1626" t="s">
        <v>25</v>
      </c>
      <c r="E1626" t="s">
        <v>26</v>
      </c>
      <c r="F1626" t="s">
        <v>27</v>
      </c>
      <c r="G1626" t="s">
        <v>28</v>
      </c>
      <c r="H1626">
        <v>40</v>
      </c>
      <c r="I1626">
        <v>20</v>
      </c>
      <c r="J1626">
        <v>26</v>
      </c>
      <c r="K1626">
        <v>100</v>
      </c>
      <c r="L1626">
        <v>2.6</v>
      </c>
      <c r="M1626">
        <v>138</v>
      </c>
      <c r="N1626">
        <v>2.5</v>
      </c>
      <c r="O1626">
        <v>4</v>
      </c>
      <c r="S1626">
        <v>3</v>
      </c>
      <c r="T1626">
        <v>34.6</v>
      </c>
      <c r="U1626">
        <v>82.2</v>
      </c>
      <c r="V1626">
        <v>4450</v>
      </c>
      <c r="W1626">
        <v>25</v>
      </c>
      <c r="X1626" t="s">
        <v>617</v>
      </c>
    </row>
    <row r="1627" spans="1:24">
      <c r="A1627" t="str">
        <f>Hyperlink("https://www.diodes.com/part/view/DMTH4004LPSQ","DMTH4004LPSQ")</f>
        <v>DMTH4004LPSQ</v>
      </c>
      <c r="B1627" t="str">
        <f>Hyperlink("https://www.diodes.com/assets/Datasheets/DMTH4004LPSQ.pdf","DMTH4004LPSQ Datasheet")</f>
        <v>DMTH4004LPSQ Datasheet</v>
      </c>
      <c r="C1627" t="s">
        <v>700</v>
      </c>
      <c r="D1627" t="s">
        <v>25</v>
      </c>
      <c r="E1627" t="s">
        <v>33</v>
      </c>
      <c r="F1627" t="s">
        <v>27</v>
      </c>
      <c r="G1627" t="s">
        <v>28</v>
      </c>
      <c r="H1627">
        <v>40</v>
      </c>
      <c r="I1627">
        <v>20</v>
      </c>
      <c r="K1627">
        <v>100</v>
      </c>
      <c r="L1627">
        <v>2.83</v>
      </c>
      <c r="M1627">
        <v>125</v>
      </c>
      <c r="N1627">
        <v>2.5</v>
      </c>
      <c r="O1627">
        <v>5</v>
      </c>
      <c r="S1627">
        <v>3</v>
      </c>
      <c r="T1627">
        <v>32.4</v>
      </c>
      <c r="U1627">
        <v>69.6</v>
      </c>
      <c r="V1627">
        <v>5220</v>
      </c>
      <c r="W1627">
        <v>20</v>
      </c>
      <c r="X1627" t="s">
        <v>617</v>
      </c>
    </row>
    <row r="1628" spans="1:24">
      <c r="A1628" t="str">
        <f>Hyperlink("https://www.diodes.com/part/view/DMTH4004LPSWQ","DMTH4004LPSWQ")</f>
        <v>DMTH4004LPSWQ</v>
      </c>
      <c r="B1628" t="str">
        <f>Hyperlink("https://www.diodes.com/assets/Datasheets/DMTH4004LPSWQ.pdf","DMTH4004LPSWQ Datasheet")</f>
        <v>DMTH4004LPSWQ Datasheet</v>
      </c>
      <c r="C1628" t="s">
        <v>997</v>
      </c>
      <c r="D1628" t="s">
        <v>25</v>
      </c>
      <c r="E1628" t="s">
        <v>33</v>
      </c>
      <c r="F1628" t="s">
        <v>27</v>
      </c>
      <c r="G1628" t="s">
        <v>28</v>
      </c>
      <c r="H1628">
        <v>40</v>
      </c>
      <c r="I1628">
        <v>20</v>
      </c>
      <c r="K1628">
        <v>100</v>
      </c>
      <c r="L1628">
        <v>2.83</v>
      </c>
      <c r="M1628">
        <v>125</v>
      </c>
      <c r="N1628">
        <v>2.5</v>
      </c>
      <c r="O1628">
        <v>5</v>
      </c>
      <c r="R1628">
        <v>1</v>
      </c>
      <c r="S1628">
        <v>3</v>
      </c>
      <c r="T1628">
        <v>32.4</v>
      </c>
      <c r="U1628">
        <v>69.6</v>
      </c>
      <c r="V1628">
        <v>5220</v>
      </c>
      <c r="W1628">
        <v>25</v>
      </c>
      <c r="X1628" t="s">
        <v>757</v>
      </c>
    </row>
    <row r="1629" spans="1:24">
      <c r="A1629" t="str">
        <f>Hyperlink("https://www.diodes.com/part/view/DMTH4004SCTB","DMTH4004SCTB")</f>
        <v>DMTH4004SCTB</v>
      </c>
      <c r="B1629" t="str">
        <f>Hyperlink("https://www.diodes.com/assets/Datasheets/DMTH4004SCTB.pdf","DMTH4004SCTB Datasheet")</f>
        <v>DMTH4004SCTB Datasheet</v>
      </c>
      <c r="C1629" t="s">
        <v>760</v>
      </c>
      <c r="D1629" t="s">
        <v>25</v>
      </c>
      <c r="E1629" t="s">
        <v>26</v>
      </c>
      <c r="F1629" t="s">
        <v>27</v>
      </c>
      <c r="G1629" t="s">
        <v>28</v>
      </c>
      <c r="H1629">
        <v>40</v>
      </c>
      <c r="I1629">
        <v>20</v>
      </c>
      <c r="K1629">
        <v>100</v>
      </c>
      <c r="L1629">
        <v>4.7</v>
      </c>
      <c r="M1629">
        <v>136</v>
      </c>
      <c r="N1629">
        <v>3</v>
      </c>
      <c r="S1629">
        <v>4</v>
      </c>
      <c r="U1629">
        <v>68.6</v>
      </c>
      <c r="V1629">
        <v>4305</v>
      </c>
      <c r="W1629">
        <v>25</v>
      </c>
      <c r="X1629" t="s">
        <v>722</v>
      </c>
    </row>
    <row r="1630" spans="1:24">
      <c r="A1630" t="str">
        <f>Hyperlink("https://www.diodes.com/part/view/DMTH4004SCTBQ","DMTH4004SCTBQ")</f>
        <v>DMTH4004SCTBQ</v>
      </c>
      <c r="B1630" t="str">
        <f>Hyperlink("https://www.diodes.com/assets/Datasheets/DMTH4004SCTBQ.pdf","DMTH4004SCTBQ Datasheet")</f>
        <v>DMTH4004SCTBQ Datasheet</v>
      </c>
      <c r="C1630" t="s">
        <v>760</v>
      </c>
      <c r="D1630" t="s">
        <v>25</v>
      </c>
      <c r="E1630" t="s">
        <v>33</v>
      </c>
      <c r="F1630" t="s">
        <v>27</v>
      </c>
      <c r="G1630" t="s">
        <v>28</v>
      </c>
      <c r="H1630">
        <v>40</v>
      </c>
      <c r="I1630">
        <v>20</v>
      </c>
      <c r="K1630">
        <v>100</v>
      </c>
      <c r="L1630">
        <v>4.7</v>
      </c>
      <c r="M1630">
        <v>136</v>
      </c>
      <c r="N1630">
        <v>3</v>
      </c>
      <c r="S1630">
        <v>4</v>
      </c>
      <c r="U1630">
        <v>68.6</v>
      </c>
      <c r="V1630">
        <v>4305</v>
      </c>
      <c r="W1630">
        <v>25</v>
      </c>
      <c r="X1630" t="s">
        <v>722</v>
      </c>
    </row>
    <row r="1631" spans="1:24">
      <c r="A1631" t="str">
        <f>Hyperlink("https://www.diodes.com/part/view/DMTH4004SK3","DMTH4004SK3")</f>
        <v>DMTH4004SK3</v>
      </c>
      <c r="B1631" t="str">
        <f>Hyperlink("https://www.diodes.com/assets/Datasheets/DMTH4004SK3.pdf","DMTH4004SK3 Datasheet")</f>
        <v>DMTH4004SK3 Datasheet</v>
      </c>
      <c r="C1631" t="s">
        <v>760</v>
      </c>
      <c r="D1631" t="s">
        <v>25</v>
      </c>
      <c r="E1631" t="s">
        <v>26</v>
      </c>
      <c r="F1631" t="s">
        <v>27</v>
      </c>
      <c r="G1631" t="s">
        <v>28</v>
      </c>
      <c r="H1631">
        <v>40</v>
      </c>
      <c r="I1631">
        <v>20</v>
      </c>
      <c r="K1631">
        <v>100</v>
      </c>
      <c r="L1631">
        <v>3.9</v>
      </c>
      <c r="M1631">
        <v>180</v>
      </c>
      <c r="N1631">
        <v>3.2</v>
      </c>
      <c r="S1631">
        <v>4</v>
      </c>
      <c r="U1631">
        <v>68.6</v>
      </c>
      <c r="V1631">
        <v>4305</v>
      </c>
      <c r="W1631">
        <v>25</v>
      </c>
      <c r="X1631" t="s">
        <v>507</v>
      </c>
    </row>
    <row r="1632" spans="1:24">
      <c r="A1632" t="str">
        <f>Hyperlink("https://www.diodes.com/part/view/DMTH4004SK3Q","DMTH4004SK3Q")</f>
        <v>DMTH4004SK3Q</v>
      </c>
      <c r="B1632" t="str">
        <f>Hyperlink("https://www.diodes.com/assets/Datasheets/DMTH4004SK3Q.pdf","DMTH4004SK3Q Datasheet")</f>
        <v>DMTH4004SK3Q Datasheet</v>
      </c>
      <c r="C1632" t="s">
        <v>760</v>
      </c>
      <c r="D1632" t="s">
        <v>25</v>
      </c>
      <c r="E1632" t="s">
        <v>33</v>
      </c>
      <c r="F1632" t="s">
        <v>27</v>
      </c>
      <c r="G1632" t="s">
        <v>28</v>
      </c>
      <c r="H1632">
        <v>40</v>
      </c>
      <c r="I1632">
        <v>20</v>
      </c>
      <c r="K1632">
        <v>100</v>
      </c>
      <c r="L1632">
        <v>3.9</v>
      </c>
      <c r="M1632">
        <v>180</v>
      </c>
      <c r="N1632">
        <v>3.2</v>
      </c>
      <c r="S1632">
        <v>4</v>
      </c>
      <c r="U1632">
        <v>68.6</v>
      </c>
      <c r="V1632">
        <v>4305</v>
      </c>
      <c r="W1632">
        <v>20</v>
      </c>
      <c r="X1632" t="s">
        <v>507</v>
      </c>
    </row>
    <row r="1633" spans="1:24">
      <c r="A1633" t="str">
        <f>Hyperlink("https://www.diodes.com/part/view/DMTH4004SPS","DMTH4004SPS")</f>
        <v>DMTH4004SPS</v>
      </c>
      <c r="B1633" t="str">
        <f>Hyperlink("https://www.diodes.com/assets/Datasheets/DMTH4004SPS.pdf","DMTH4004SPS Datasheet")</f>
        <v>DMTH4004SPS Datasheet</v>
      </c>
      <c r="C1633" t="s">
        <v>760</v>
      </c>
      <c r="D1633" t="s">
        <v>25</v>
      </c>
      <c r="E1633" t="s">
        <v>26</v>
      </c>
      <c r="F1633" t="s">
        <v>27</v>
      </c>
      <c r="G1633" t="s">
        <v>28</v>
      </c>
      <c r="H1633">
        <v>40</v>
      </c>
      <c r="I1633">
        <v>20</v>
      </c>
      <c r="J1633">
        <v>31</v>
      </c>
      <c r="K1633">
        <v>100</v>
      </c>
      <c r="L1633">
        <v>3.6</v>
      </c>
      <c r="M1633">
        <v>167</v>
      </c>
      <c r="N1633">
        <v>2.7</v>
      </c>
      <c r="S1633">
        <v>4</v>
      </c>
      <c r="U1633">
        <v>68.6</v>
      </c>
      <c r="V1633">
        <v>4305</v>
      </c>
      <c r="W1633">
        <v>25</v>
      </c>
      <c r="X1633" t="s">
        <v>617</v>
      </c>
    </row>
    <row r="1634" spans="1:24">
      <c r="A1634" t="str">
        <f>Hyperlink("https://www.diodes.com/part/view/DMTH4004SPSQ","DMTH4004SPSQ")</f>
        <v>DMTH4004SPSQ</v>
      </c>
      <c r="B1634" t="str">
        <f>Hyperlink("https://www.diodes.com/assets/Datasheets/DMTH4004SPSQ.pdf","DMTH4004SPSQ Datasheet")</f>
        <v>DMTH4004SPSQ Datasheet</v>
      </c>
      <c r="C1634" t="s">
        <v>760</v>
      </c>
      <c r="D1634" t="s">
        <v>25</v>
      </c>
      <c r="E1634" t="s">
        <v>33</v>
      </c>
      <c r="F1634" t="s">
        <v>27</v>
      </c>
      <c r="G1634" t="s">
        <v>28</v>
      </c>
      <c r="H1634">
        <v>40</v>
      </c>
      <c r="I1634">
        <v>20</v>
      </c>
      <c r="J1634">
        <v>31</v>
      </c>
      <c r="K1634">
        <v>100</v>
      </c>
      <c r="L1634">
        <v>3.6</v>
      </c>
      <c r="M1634">
        <v>167</v>
      </c>
      <c r="N1634">
        <v>2.7</v>
      </c>
      <c r="S1634">
        <v>4</v>
      </c>
      <c r="U1634">
        <v>68.6</v>
      </c>
      <c r="V1634">
        <v>4305</v>
      </c>
      <c r="W1634">
        <v>25</v>
      </c>
      <c r="X1634" t="s">
        <v>617</v>
      </c>
    </row>
    <row r="1635" spans="1:24">
      <c r="A1635" t="str">
        <f>Hyperlink("https://www.diodes.com/part/view/DMTH4004SPSWQ","DMTH4004SPSWQ")</f>
        <v>DMTH4004SPSWQ</v>
      </c>
      <c r="B1635" t="str">
        <f>Hyperlink("https://www.diodes.com/assets/Datasheets/DMTH4004SPSWQ.pdf","DMTH4004SPSWQ Datasheet")</f>
        <v>DMTH4004SPSWQ Datasheet</v>
      </c>
      <c r="C1635" t="s">
        <v>997</v>
      </c>
      <c r="D1635" t="s">
        <v>25</v>
      </c>
      <c r="E1635" t="s">
        <v>33</v>
      </c>
      <c r="F1635" t="s">
        <v>27</v>
      </c>
      <c r="G1635" t="s">
        <v>28</v>
      </c>
      <c r="H1635">
        <v>40</v>
      </c>
      <c r="I1635">
        <v>20</v>
      </c>
      <c r="J1635">
        <v>31</v>
      </c>
      <c r="K1635">
        <v>100</v>
      </c>
      <c r="L1635">
        <v>3.6</v>
      </c>
      <c r="M1635">
        <v>167</v>
      </c>
      <c r="N1635">
        <v>2.7</v>
      </c>
      <c r="R1635">
        <v>2</v>
      </c>
      <c r="S1635">
        <v>4</v>
      </c>
      <c r="U1635">
        <v>68.6</v>
      </c>
      <c r="V1635">
        <v>4305</v>
      </c>
      <c r="W1635">
        <v>25</v>
      </c>
      <c r="X1635" t="s">
        <v>757</v>
      </c>
    </row>
    <row r="1636" spans="1:24">
      <c r="A1636" t="str">
        <f>Hyperlink("https://www.diodes.com/part/view/DMTH4005SCT","DMTH4005SCT")</f>
        <v>DMTH4005SCT</v>
      </c>
      <c r="B1636" t="str">
        <f>Hyperlink("https://www.diodes.com/assets/Datasheets/DMTH4005SCT.pdf","DMTH4005SCT Datasheet")</f>
        <v>DMTH4005SCT Datasheet</v>
      </c>
      <c r="C1636" t="s">
        <v>760</v>
      </c>
      <c r="D1636" t="s">
        <v>25</v>
      </c>
      <c r="E1636" t="s">
        <v>26</v>
      </c>
      <c r="F1636" t="s">
        <v>27</v>
      </c>
      <c r="G1636" t="s">
        <v>28</v>
      </c>
      <c r="H1636">
        <v>40</v>
      </c>
      <c r="I1636">
        <v>20</v>
      </c>
      <c r="K1636">
        <v>100</v>
      </c>
      <c r="L1636">
        <v>2.8</v>
      </c>
      <c r="M1636">
        <v>125</v>
      </c>
      <c r="N1636">
        <v>4.7</v>
      </c>
      <c r="S1636">
        <v>4</v>
      </c>
      <c r="U1636">
        <v>49.1</v>
      </c>
      <c r="V1636">
        <v>3062</v>
      </c>
      <c r="W1636">
        <v>20</v>
      </c>
      <c r="X1636" t="s">
        <v>962</v>
      </c>
    </row>
    <row r="1637" spans="1:24">
      <c r="A1637" t="str">
        <f>Hyperlink("https://www.diodes.com/part/view/DMTH4005SK3","DMTH4005SK3")</f>
        <v>DMTH4005SK3</v>
      </c>
      <c r="B1637" t="str">
        <f>Hyperlink("https://www.diodes.com/assets/Datasheets/DMTH4005SK3.pdf","DMTH4005SK3 Datasheet")</f>
        <v>DMTH4005SK3 Datasheet</v>
      </c>
      <c r="C1637" t="s">
        <v>760</v>
      </c>
      <c r="D1637" t="s">
        <v>25</v>
      </c>
      <c r="E1637" t="s">
        <v>26</v>
      </c>
      <c r="F1637" t="s">
        <v>27</v>
      </c>
      <c r="G1637" t="s">
        <v>28</v>
      </c>
      <c r="H1637">
        <v>40</v>
      </c>
      <c r="I1637">
        <v>20</v>
      </c>
      <c r="K1637">
        <v>95</v>
      </c>
      <c r="L1637">
        <v>2.1</v>
      </c>
      <c r="M1637">
        <v>100</v>
      </c>
      <c r="N1637">
        <v>4.5</v>
      </c>
      <c r="S1637">
        <v>4</v>
      </c>
      <c r="U1637">
        <v>49.1</v>
      </c>
      <c r="V1637">
        <v>3062</v>
      </c>
      <c r="W1637">
        <v>20</v>
      </c>
      <c r="X1637" t="s">
        <v>507</v>
      </c>
    </row>
    <row r="1638" spans="1:24">
      <c r="A1638" t="str">
        <f>Hyperlink("https://www.diodes.com/part/view/DMTH4005SK3Q","DMTH4005SK3Q")</f>
        <v>DMTH4005SK3Q</v>
      </c>
      <c r="B1638" t="str">
        <f>Hyperlink("https://www.diodes.com/assets/Datasheets/DMTH4005SK3Q.pdf","DMTH4005SK3Q Datasheet")</f>
        <v>DMTH4005SK3Q Datasheet</v>
      </c>
      <c r="C1638" t="s">
        <v>760</v>
      </c>
      <c r="D1638" t="s">
        <v>25</v>
      </c>
      <c r="E1638" t="s">
        <v>33</v>
      </c>
      <c r="F1638" t="s">
        <v>27</v>
      </c>
      <c r="G1638" t="s">
        <v>28</v>
      </c>
      <c r="H1638">
        <v>40</v>
      </c>
      <c r="I1638">
        <v>20</v>
      </c>
      <c r="K1638">
        <v>95</v>
      </c>
      <c r="L1638">
        <v>2.1</v>
      </c>
      <c r="M1638">
        <v>100</v>
      </c>
      <c r="N1638">
        <v>4.5</v>
      </c>
      <c r="S1638">
        <v>4</v>
      </c>
      <c r="U1638">
        <v>49.1</v>
      </c>
      <c r="V1638">
        <v>3062</v>
      </c>
      <c r="W1638">
        <v>20</v>
      </c>
      <c r="X1638" t="s">
        <v>507</v>
      </c>
    </row>
    <row r="1639" spans="1:24">
      <c r="A1639" t="str">
        <f>Hyperlink("https://www.diodes.com/part/view/DMTH4005SPS","DMTH4005SPS")</f>
        <v>DMTH4005SPS</v>
      </c>
      <c r="B1639" t="str">
        <f>Hyperlink("https://www.diodes.com/assets/Datasheets/DMTH4005SPS.pdf","DMTH4005SPS Datasheet")</f>
        <v>DMTH4005SPS Datasheet</v>
      </c>
      <c r="C1639" t="s">
        <v>760</v>
      </c>
      <c r="D1639" t="s">
        <v>25</v>
      </c>
      <c r="E1639" t="s">
        <v>26</v>
      </c>
      <c r="F1639" t="s">
        <v>27</v>
      </c>
      <c r="G1639" t="s">
        <v>28</v>
      </c>
      <c r="H1639">
        <v>40</v>
      </c>
      <c r="I1639">
        <v>20</v>
      </c>
      <c r="J1639">
        <v>20.9</v>
      </c>
      <c r="K1639">
        <v>100</v>
      </c>
      <c r="L1639">
        <v>2.6</v>
      </c>
      <c r="M1639">
        <v>150</v>
      </c>
      <c r="N1639">
        <v>3.7</v>
      </c>
      <c r="S1639">
        <v>4</v>
      </c>
      <c r="U1639">
        <v>49.1</v>
      </c>
      <c r="V1639">
        <v>3062</v>
      </c>
      <c r="W1639">
        <v>20</v>
      </c>
      <c r="X1639" t="s">
        <v>617</v>
      </c>
    </row>
    <row r="1640" spans="1:24">
      <c r="A1640" t="str">
        <f>Hyperlink("https://www.diodes.com/part/view/DMTH4005SPSQ","DMTH4005SPSQ")</f>
        <v>DMTH4005SPSQ</v>
      </c>
      <c r="B1640" t="str">
        <f>Hyperlink("https://www.diodes.com/assets/Datasheets/DMTH4005SPSQ.pdf","DMTH4005SPSQ Datasheet")</f>
        <v>DMTH4005SPSQ Datasheet</v>
      </c>
      <c r="C1640" t="s">
        <v>760</v>
      </c>
      <c r="D1640" t="s">
        <v>25</v>
      </c>
      <c r="E1640" t="s">
        <v>33</v>
      </c>
      <c r="F1640" t="s">
        <v>27</v>
      </c>
      <c r="G1640" t="s">
        <v>28</v>
      </c>
      <c r="H1640">
        <v>40</v>
      </c>
      <c r="I1640">
        <v>20</v>
      </c>
      <c r="J1640">
        <v>20.9</v>
      </c>
      <c r="K1640">
        <v>100</v>
      </c>
      <c r="L1640">
        <v>2.6</v>
      </c>
      <c r="M1640">
        <v>150</v>
      </c>
      <c r="N1640">
        <v>3.7</v>
      </c>
      <c r="S1640">
        <v>4</v>
      </c>
      <c r="U1640">
        <v>49.1</v>
      </c>
      <c r="V1640">
        <v>3062</v>
      </c>
      <c r="W1640">
        <v>20</v>
      </c>
      <c r="X1640" t="s">
        <v>617</v>
      </c>
    </row>
    <row r="1641" spans="1:24">
      <c r="A1641" t="str">
        <f>Hyperlink("https://www.diodes.com/part/view/DMTH4005SPSWQ","DMTH4005SPSWQ")</f>
        <v>DMTH4005SPSWQ</v>
      </c>
      <c r="B1641" t="str">
        <f>Hyperlink("https://www.diodes.com/assets/Datasheets/DMTH4005SPSWQ.pdf","DMTH4005SPSWQ Datasheet")</f>
        <v>DMTH4005SPSWQ Datasheet</v>
      </c>
      <c r="C1641" t="s">
        <v>997</v>
      </c>
      <c r="D1641" t="s">
        <v>25</v>
      </c>
      <c r="E1641" t="s">
        <v>33</v>
      </c>
      <c r="F1641" t="s">
        <v>27</v>
      </c>
      <c r="G1641" t="s">
        <v>28</v>
      </c>
      <c r="H1641">
        <v>40</v>
      </c>
      <c r="I1641">
        <v>20</v>
      </c>
      <c r="J1641">
        <v>20.9</v>
      </c>
      <c r="K1641">
        <v>100</v>
      </c>
      <c r="L1641">
        <v>2.6</v>
      </c>
      <c r="M1641">
        <v>150</v>
      </c>
      <c r="N1641">
        <v>3.7</v>
      </c>
      <c r="R1641">
        <v>2</v>
      </c>
      <c r="S1641">
        <v>4</v>
      </c>
      <c r="U1641">
        <v>49.1</v>
      </c>
      <c r="V1641">
        <v>3062</v>
      </c>
      <c r="W1641">
        <v>20</v>
      </c>
      <c r="X1641" t="s">
        <v>757</v>
      </c>
    </row>
    <row r="1642" spans="1:24">
      <c r="A1642" t="str">
        <f>Hyperlink("https://www.diodes.com/part/view/DMTH4007LK3","DMTH4007LK3")</f>
        <v>DMTH4007LK3</v>
      </c>
      <c r="B1642" t="str">
        <f>Hyperlink("https://www.diodes.com/assets/Datasheets/DMTH4007LK3.pdf","DMTH4007LK3 Datasheet")</f>
        <v>DMTH4007LK3 Datasheet</v>
      </c>
      <c r="C1642" t="s">
        <v>760</v>
      </c>
      <c r="D1642" t="s">
        <v>25</v>
      </c>
      <c r="E1642" t="s">
        <v>26</v>
      </c>
      <c r="F1642" t="s">
        <v>27</v>
      </c>
      <c r="G1642" t="s">
        <v>28</v>
      </c>
      <c r="H1642">
        <v>40</v>
      </c>
      <c r="I1642">
        <v>20</v>
      </c>
      <c r="J1642">
        <v>16.8</v>
      </c>
      <c r="K1642">
        <v>70</v>
      </c>
      <c r="L1642">
        <v>2.6</v>
      </c>
      <c r="M1642">
        <v>59</v>
      </c>
      <c r="N1642">
        <v>7.3</v>
      </c>
      <c r="O1642">
        <v>9.8</v>
      </c>
      <c r="S1642">
        <v>3</v>
      </c>
      <c r="T1642">
        <v>12.4</v>
      </c>
      <c r="U1642">
        <v>29.1</v>
      </c>
      <c r="V1642">
        <v>1895</v>
      </c>
      <c r="W1642">
        <v>30</v>
      </c>
      <c r="X1642" t="s">
        <v>507</v>
      </c>
    </row>
    <row r="1643" spans="1:24">
      <c r="A1643" t="str">
        <f>Hyperlink("https://www.diodes.com/part/view/DMTH4007LK3Q","DMTH4007LK3Q")</f>
        <v>DMTH4007LK3Q</v>
      </c>
      <c r="B1643" t="str">
        <f>Hyperlink("https://www.diodes.com/assets/Datasheets/DMTH4007LK3Q.pdf","DMTH4007LK3Q Datasheet")</f>
        <v>DMTH4007LK3Q Datasheet</v>
      </c>
      <c r="C1643" t="s">
        <v>760</v>
      </c>
      <c r="D1643" t="s">
        <v>25</v>
      </c>
      <c r="E1643" t="s">
        <v>33</v>
      </c>
      <c r="F1643" t="s">
        <v>27</v>
      </c>
      <c r="G1643" t="s">
        <v>28</v>
      </c>
      <c r="H1643">
        <v>40</v>
      </c>
      <c r="I1643">
        <v>20</v>
      </c>
      <c r="J1643">
        <v>16.8</v>
      </c>
      <c r="K1643">
        <v>70</v>
      </c>
      <c r="L1643">
        <v>2.6</v>
      </c>
      <c r="M1643">
        <v>59</v>
      </c>
      <c r="N1643">
        <v>7.3</v>
      </c>
      <c r="O1643">
        <v>9.8</v>
      </c>
      <c r="S1643">
        <v>3</v>
      </c>
      <c r="T1643">
        <v>12.4</v>
      </c>
      <c r="U1643">
        <v>29.1</v>
      </c>
      <c r="V1643">
        <v>1895</v>
      </c>
      <c r="W1643">
        <v>30</v>
      </c>
      <c r="X1643" t="s">
        <v>507</v>
      </c>
    </row>
    <row r="1644" spans="1:24">
      <c r="A1644" t="str">
        <f>Hyperlink("https://www.diodes.com/part/view/DMTH4007LPS","DMTH4007LPS")</f>
        <v>DMTH4007LPS</v>
      </c>
      <c r="B1644" t="str">
        <f>Hyperlink("https://www.diodes.com/assets/Datasheets/DMTH4007LPS.pdf","DMTH4007LPS Datasheet")</f>
        <v>DMTH4007LPS Datasheet</v>
      </c>
      <c r="C1644" t="s">
        <v>760</v>
      </c>
      <c r="D1644" t="s">
        <v>25</v>
      </c>
      <c r="E1644" t="s">
        <v>26</v>
      </c>
      <c r="F1644" t="s">
        <v>27</v>
      </c>
      <c r="G1644" t="s">
        <v>28</v>
      </c>
      <c r="H1644">
        <v>40</v>
      </c>
      <c r="I1644">
        <v>20</v>
      </c>
      <c r="J1644">
        <v>15.5</v>
      </c>
      <c r="K1644">
        <v>100</v>
      </c>
      <c r="L1644">
        <v>2.7</v>
      </c>
      <c r="M1644">
        <v>150</v>
      </c>
      <c r="N1644">
        <v>6.5</v>
      </c>
      <c r="O1644">
        <v>9.8</v>
      </c>
      <c r="S1644">
        <v>3</v>
      </c>
      <c r="T1644">
        <v>12.4</v>
      </c>
      <c r="U1644">
        <v>29.1</v>
      </c>
      <c r="V1644">
        <v>1895</v>
      </c>
      <c r="W1644">
        <v>30</v>
      </c>
      <c r="X1644" t="s">
        <v>617</v>
      </c>
    </row>
    <row r="1645" spans="1:24">
      <c r="A1645" t="str">
        <f>Hyperlink("https://www.diodes.com/part/view/DMTH4007LPSQ","DMTH4007LPSQ")</f>
        <v>DMTH4007LPSQ</v>
      </c>
      <c r="B1645" t="str">
        <f>Hyperlink("https://www.diodes.com/assets/Datasheets/DMTH4007LPSQ.pdf","DMTH4007LPSQ Datasheet")</f>
        <v>DMTH4007LPSQ Datasheet</v>
      </c>
      <c r="C1645" t="s">
        <v>760</v>
      </c>
      <c r="D1645" t="s">
        <v>25</v>
      </c>
      <c r="E1645" t="s">
        <v>33</v>
      </c>
      <c r="F1645" t="s">
        <v>27</v>
      </c>
      <c r="G1645" t="s">
        <v>28</v>
      </c>
      <c r="H1645">
        <v>40</v>
      </c>
      <c r="I1645">
        <v>20</v>
      </c>
      <c r="J1645">
        <v>15.5</v>
      </c>
      <c r="K1645">
        <v>100</v>
      </c>
      <c r="L1645">
        <v>2.7</v>
      </c>
      <c r="M1645">
        <v>150</v>
      </c>
      <c r="N1645">
        <v>6.5</v>
      </c>
      <c r="O1645">
        <v>9.8</v>
      </c>
      <c r="S1645">
        <v>3</v>
      </c>
      <c r="T1645">
        <v>12.4</v>
      </c>
      <c r="U1645">
        <v>29.1</v>
      </c>
      <c r="V1645">
        <v>1895</v>
      </c>
      <c r="W1645">
        <v>30</v>
      </c>
      <c r="X1645" t="s">
        <v>617</v>
      </c>
    </row>
    <row r="1646" spans="1:24">
      <c r="A1646" t="str">
        <f>Hyperlink("https://www.diodes.com/part/view/DMTH4007LPSWQ","DMTH4007LPSWQ")</f>
        <v>DMTH4007LPSWQ</v>
      </c>
      <c r="B1646" t="str">
        <f>Hyperlink("https://www.diodes.com/assets/Datasheets/DMTH4007LPSWQ.pdf","DMTH4007LPSWQ Datasheet")</f>
        <v>DMTH4007LPSWQ Datasheet</v>
      </c>
      <c r="C1646" t="s">
        <v>998</v>
      </c>
      <c r="D1646" t="s">
        <v>25</v>
      </c>
      <c r="E1646" t="s">
        <v>33</v>
      </c>
      <c r="F1646" t="s">
        <v>27</v>
      </c>
      <c r="G1646" t="s">
        <v>28</v>
      </c>
      <c r="H1646">
        <v>40</v>
      </c>
      <c r="I1646">
        <v>20</v>
      </c>
      <c r="J1646">
        <v>15</v>
      </c>
      <c r="K1646">
        <v>85</v>
      </c>
      <c r="L1646">
        <v>2.7</v>
      </c>
      <c r="M1646">
        <v>83.3</v>
      </c>
      <c r="N1646">
        <v>6.5</v>
      </c>
      <c r="O1646">
        <v>9.8</v>
      </c>
      <c r="R1646">
        <v>1</v>
      </c>
      <c r="S1646">
        <v>3</v>
      </c>
      <c r="T1646">
        <v>12.4</v>
      </c>
      <c r="U1646">
        <v>29.1</v>
      </c>
      <c r="V1646">
        <v>1895</v>
      </c>
      <c r="W1646">
        <v>30</v>
      </c>
      <c r="X1646" t="s">
        <v>757</v>
      </c>
    </row>
    <row r="1647" spans="1:24">
      <c r="A1647" t="str">
        <f>Hyperlink("https://www.diodes.com/part/view/DMTH4007SK3","DMTH4007SK3")</f>
        <v>DMTH4007SK3</v>
      </c>
      <c r="B1647" t="str">
        <f>Hyperlink("https://www.diodes.com/assets/Datasheets/DMTH4007SK3.pdf","DMTH4007SK3 Datasheet")</f>
        <v>DMTH4007SK3 Datasheet</v>
      </c>
      <c r="C1647" t="s">
        <v>760</v>
      </c>
      <c r="D1647" t="s">
        <v>25</v>
      </c>
      <c r="E1647" t="s">
        <v>26</v>
      </c>
      <c r="F1647" t="s">
        <v>27</v>
      </c>
      <c r="G1647" t="s">
        <v>28</v>
      </c>
      <c r="H1647">
        <v>40</v>
      </c>
      <c r="I1647">
        <v>20</v>
      </c>
      <c r="J1647">
        <v>17.6</v>
      </c>
      <c r="K1647">
        <v>76</v>
      </c>
      <c r="L1647">
        <v>3.1</v>
      </c>
      <c r="M1647">
        <v>59</v>
      </c>
      <c r="N1647">
        <v>6</v>
      </c>
      <c r="S1647">
        <v>4</v>
      </c>
      <c r="U1647">
        <v>41.9</v>
      </c>
      <c r="V1647">
        <v>2082</v>
      </c>
      <c r="W1647">
        <v>25</v>
      </c>
      <c r="X1647" t="s">
        <v>507</v>
      </c>
    </row>
    <row r="1648" spans="1:24">
      <c r="A1648" t="str">
        <f>Hyperlink("https://www.diodes.com/part/view/DMTH4007SPD","DMTH4007SPD")</f>
        <v>DMTH4007SPD</v>
      </c>
      <c r="B1648" t="str">
        <f>Hyperlink("https://www.diodes.com/assets/Datasheets/DMTH4007SPD.pdf","DMTH4007SPD Datasheet")</f>
        <v>DMTH4007SPD Datasheet</v>
      </c>
      <c r="C1648" t="s">
        <v>763</v>
      </c>
      <c r="D1648" t="s">
        <v>25</v>
      </c>
      <c r="E1648" t="s">
        <v>26</v>
      </c>
      <c r="F1648" t="s">
        <v>35</v>
      </c>
      <c r="G1648" t="s">
        <v>28</v>
      </c>
      <c r="H1648">
        <v>40</v>
      </c>
      <c r="I1648">
        <v>20</v>
      </c>
      <c r="J1648">
        <v>14.2</v>
      </c>
      <c r="K1648">
        <v>45</v>
      </c>
      <c r="L1648">
        <v>2.6</v>
      </c>
      <c r="M1648">
        <v>37.5</v>
      </c>
      <c r="N1648">
        <v>8.6</v>
      </c>
      <c r="S1648">
        <v>4</v>
      </c>
      <c r="U1648">
        <v>41.9</v>
      </c>
      <c r="V1648">
        <v>2026</v>
      </c>
      <c r="W1648">
        <v>30</v>
      </c>
      <c r="X1648" t="s">
        <v>93</v>
      </c>
    </row>
    <row r="1649" spans="1:24">
      <c r="A1649" t="str">
        <f>Hyperlink("https://www.diodes.com/part/view/DMTH4007SPDQ","DMTH4007SPDQ")</f>
        <v>DMTH4007SPDQ</v>
      </c>
      <c r="B1649" t="str">
        <f>Hyperlink("https://www.diodes.com/assets/Datasheets/DMTH4007SPDQ.pdf","DMTH4007SPDQ Datasheet")</f>
        <v>DMTH4007SPDQ Datasheet</v>
      </c>
      <c r="C1649" t="s">
        <v>999</v>
      </c>
      <c r="D1649" t="s">
        <v>25</v>
      </c>
      <c r="E1649" t="s">
        <v>33</v>
      </c>
      <c r="F1649" t="s">
        <v>35</v>
      </c>
      <c r="G1649" t="s">
        <v>28</v>
      </c>
      <c r="H1649">
        <v>40</v>
      </c>
      <c r="I1649">
        <v>20</v>
      </c>
      <c r="J1649">
        <v>14.2</v>
      </c>
      <c r="K1649">
        <v>45</v>
      </c>
      <c r="L1649">
        <v>2.6</v>
      </c>
      <c r="M1649">
        <v>37.5</v>
      </c>
      <c r="N1649">
        <v>8.6</v>
      </c>
      <c r="S1649">
        <v>4</v>
      </c>
      <c r="U1649">
        <v>41.9</v>
      </c>
      <c r="V1649">
        <v>2026</v>
      </c>
      <c r="W1649">
        <v>30</v>
      </c>
      <c r="X1649" t="s">
        <v>93</v>
      </c>
    </row>
    <row r="1650" spans="1:24">
      <c r="A1650" t="str">
        <f>Hyperlink("https://www.diodes.com/part/view/DMTH4007SPDWQ","DMTH4007SPDWQ")</f>
        <v>DMTH4007SPDWQ</v>
      </c>
      <c r="B1650" t="str">
        <f>Hyperlink("https://www.diodes.com/assets/Datasheets/DMTH4007SPDWQ.pdf","DMTH4007SPDWQ Datasheet")</f>
        <v>DMTH4007SPDWQ Datasheet</v>
      </c>
      <c r="C1650" t="s">
        <v>1000</v>
      </c>
      <c r="D1650" t="s">
        <v>25</v>
      </c>
      <c r="E1650" t="s">
        <v>33</v>
      </c>
      <c r="F1650" t="s">
        <v>27</v>
      </c>
      <c r="G1650" t="s">
        <v>28</v>
      </c>
      <c r="H1650">
        <v>40</v>
      </c>
      <c r="I1650">
        <v>20</v>
      </c>
      <c r="J1650">
        <v>12.5</v>
      </c>
      <c r="K1650">
        <v>48</v>
      </c>
      <c r="L1650">
        <v>2.6</v>
      </c>
      <c r="M1650">
        <v>37.5</v>
      </c>
      <c r="N1650">
        <v>8.6</v>
      </c>
      <c r="R1650">
        <v>2</v>
      </c>
      <c r="S1650">
        <v>4</v>
      </c>
      <c r="U1650">
        <v>41.9</v>
      </c>
      <c r="V1650">
        <v>2026</v>
      </c>
      <c r="W1650">
        <v>30</v>
      </c>
      <c r="X1650" t="s">
        <v>115</v>
      </c>
    </row>
    <row r="1651" spans="1:24">
      <c r="A1651" t="str">
        <f>Hyperlink("https://www.diodes.com/part/view/DMTH4007SPS","DMTH4007SPS")</f>
        <v>DMTH4007SPS</v>
      </c>
      <c r="B1651" t="str">
        <f>Hyperlink("https://www.diodes.com/assets/Datasheets/DMTH4007SPS.pdf","DMTH4007SPS Datasheet")</f>
        <v>DMTH4007SPS Datasheet</v>
      </c>
      <c r="C1651" t="s">
        <v>700</v>
      </c>
      <c r="D1651" t="s">
        <v>25</v>
      </c>
      <c r="E1651" t="s">
        <v>26</v>
      </c>
      <c r="F1651" t="s">
        <v>27</v>
      </c>
      <c r="G1651" t="s">
        <v>28</v>
      </c>
      <c r="H1651">
        <v>40</v>
      </c>
      <c r="I1651">
        <v>20</v>
      </c>
      <c r="J1651">
        <v>15.7</v>
      </c>
      <c r="K1651">
        <v>100</v>
      </c>
      <c r="L1651">
        <v>2.8</v>
      </c>
      <c r="M1651">
        <v>136</v>
      </c>
      <c r="N1651">
        <v>7.6</v>
      </c>
      <c r="S1651">
        <v>4</v>
      </c>
      <c r="U1651">
        <v>41.9</v>
      </c>
      <c r="V1651">
        <v>2082</v>
      </c>
      <c r="W1651">
        <v>25</v>
      </c>
      <c r="X1651" t="s">
        <v>848</v>
      </c>
    </row>
    <row r="1652" spans="1:24">
      <c r="A1652" t="str">
        <f>Hyperlink("https://www.diodes.com/part/view/DMTH4007SPSQ","DMTH4007SPSQ")</f>
        <v>DMTH4007SPSQ</v>
      </c>
      <c r="B1652" t="str">
        <f>Hyperlink("https://www.diodes.com/assets/Datasheets/DMTH4007SPSQ.pdf","DMTH4007SPSQ Datasheet")</f>
        <v>DMTH4007SPSQ Datasheet</v>
      </c>
      <c r="C1652" t="s">
        <v>760</v>
      </c>
      <c r="D1652" t="s">
        <v>25</v>
      </c>
      <c r="E1652" t="s">
        <v>33</v>
      </c>
      <c r="F1652" t="s">
        <v>27</v>
      </c>
      <c r="G1652" t="s">
        <v>28</v>
      </c>
      <c r="H1652">
        <v>40</v>
      </c>
      <c r="I1652">
        <v>20</v>
      </c>
      <c r="J1652">
        <v>15.7</v>
      </c>
      <c r="K1652">
        <v>100</v>
      </c>
      <c r="L1652">
        <v>2.8</v>
      </c>
      <c r="M1652">
        <v>136</v>
      </c>
      <c r="N1652">
        <v>7.6</v>
      </c>
      <c r="S1652">
        <v>4</v>
      </c>
      <c r="U1652">
        <v>41.9</v>
      </c>
      <c r="V1652">
        <v>2082</v>
      </c>
      <c r="W1652">
        <v>25</v>
      </c>
      <c r="X1652" t="s">
        <v>617</v>
      </c>
    </row>
    <row r="1653" spans="1:24">
      <c r="A1653" t="str">
        <f>Hyperlink("https://www.diodes.com/part/view/DMTH4007SPSWQ","DMTH4007SPSWQ")</f>
        <v>DMTH4007SPSWQ</v>
      </c>
      <c r="B1653" t="str">
        <f>Hyperlink("https://www.diodes.com/assets/Datasheets/DMTH4007SPSWQ.pdf","DMTH4007SPSWQ Datasheet")</f>
        <v>DMTH4007SPSWQ Datasheet</v>
      </c>
      <c r="C1653" t="s">
        <v>997</v>
      </c>
      <c r="D1653" t="s">
        <v>25</v>
      </c>
      <c r="E1653" t="s">
        <v>33</v>
      </c>
      <c r="F1653" t="s">
        <v>27</v>
      </c>
      <c r="G1653" t="s">
        <v>28</v>
      </c>
      <c r="H1653">
        <v>40</v>
      </c>
      <c r="I1653">
        <v>20</v>
      </c>
      <c r="J1653">
        <v>15.7</v>
      </c>
      <c r="K1653">
        <v>100</v>
      </c>
      <c r="L1653">
        <v>2.8</v>
      </c>
      <c r="M1653">
        <v>136</v>
      </c>
      <c r="N1653">
        <v>7.6</v>
      </c>
      <c r="R1653">
        <v>2</v>
      </c>
      <c r="S1653">
        <v>4</v>
      </c>
      <c r="U1653">
        <v>41.9</v>
      </c>
      <c r="V1653">
        <v>2082</v>
      </c>
      <c r="W1653">
        <v>25</v>
      </c>
      <c r="X1653" t="s">
        <v>757</v>
      </c>
    </row>
    <row r="1654" spans="1:24">
      <c r="A1654" t="str">
        <f>Hyperlink("https://www.diodes.com/part/view/DMTH4008LFDFW","DMTH4008LFDFW")</f>
        <v>DMTH4008LFDFW</v>
      </c>
      <c r="B1654" t="str">
        <f>Hyperlink("https://www.diodes.com/assets/Datasheets/DMTH4008LFDFW.pdf","DMTH4008LFDFW Datasheet")</f>
        <v>DMTH4008LFDFW Datasheet</v>
      </c>
      <c r="C1654" t="s">
        <v>700</v>
      </c>
      <c r="D1654" t="s">
        <v>25</v>
      </c>
      <c r="E1654" t="s">
        <v>26</v>
      </c>
      <c r="F1654" t="s">
        <v>27</v>
      </c>
      <c r="G1654" t="s">
        <v>28</v>
      </c>
      <c r="H1654">
        <v>40</v>
      </c>
      <c r="I1654">
        <v>20</v>
      </c>
      <c r="J1654">
        <v>11.6</v>
      </c>
      <c r="L1654">
        <v>2.35</v>
      </c>
      <c r="N1654">
        <v>11.5</v>
      </c>
      <c r="O1654">
        <v>18</v>
      </c>
      <c r="S1654">
        <v>3</v>
      </c>
      <c r="T1654">
        <v>6.8</v>
      </c>
      <c r="U1654">
        <v>14.2</v>
      </c>
      <c r="V1654">
        <v>1030</v>
      </c>
      <c r="W1654">
        <v>20</v>
      </c>
      <c r="X1654" t="s">
        <v>1001</v>
      </c>
    </row>
    <row r="1655" spans="1:24">
      <c r="A1655" t="str">
        <f>Hyperlink("https://www.diodes.com/part/view/DMTH4008LFDFWQ","DMTH4008LFDFWQ")</f>
        <v>DMTH4008LFDFWQ</v>
      </c>
      <c r="B1655" t="str">
        <f>Hyperlink("https://www.diodes.com/assets/Datasheets/DMTH4008LFDFWQ.pdf","DMTH4008LFDFWQ Datasheet")</f>
        <v>DMTH4008LFDFWQ Datasheet</v>
      </c>
      <c r="C1655" t="s">
        <v>760</v>
      </c>
      <c r="D1655" t="s">
        <v>25</v>
      </c>
      <c r="E1655" t="s">
        <v>33</v>
      </c>
      <c r="F1655" t="s">
        <v>27</v>
      </c>
      <c r="G1655" t="s">
        <v>28</v>
      </c>
      <c r="H1655">
        <v>40</v>
      </c>
      <c r="I1655">
        <v>20</v>
      </c>
      <c r="J1655">
        <v>11.6</v>
      </c>
      <c r="L1655">
        <v>2.35</v>
      </c>
      <c r="N1655">
        <v>11.5</v>
      </c>
      <c r="O1655">
        <v>18</v>
      </c>
      <c r="S1655">
        <v>3</v>
      </c>
      <c r="T1655">
        <v>6.8</v>
      </c>
      <c r="U1655">
        <v>14.2</v>
      </c>
      <c r="V1655">
        <v>1030</v>
      </c>
      <c r="W1655">
        <v>20</v>
      </c>
      <c r="X1655" t="s">
        <v>1001</v>
      </c>
    </row>
    <row r="1656" spans="1:24">
      <c r="A1656" t="str">
        <f>Hyperlink("https://www.diodes.com/part/view/DMTH4008LPDW","DMTH4008LPDW")</f>
        <v>DMTH4008LPDW</v>
      </c>
      <c r="B1656" t="str">
        <f>Hyperlink("https://www.diodes.com/assets/Datasheets/DMTH4008LPDW.pdf","DMTH4008LPDW Datasheet")</f>
        <v>DMTH4008LPDW Datasheet</v>
      </c>
      <c r="C1656" t="s">
        <v>702</v>
      </c>
      <c r="D1656" t="s">
        <v>25</v>
      </c>
      <c r="E1656" t="s">
        <v>26</v>
      </c>
      <c r="F1656" t="s">
        <v>35</v>
      </c>
      <c r="G1656" t="s">
        <v>28</v>
      </c>
      <c r="H1656">
        <v>40</v>
      </c>
      <c r="I1656">
        <v>20</v>
      </c>
      <c r="J1656">
        <v>10</v>
      </c>
      <c r="K1656">
        <v>46.2</v>
      </c>
      <c r="L1656">
        <v>1.3</v>
      </c>
      <c r="M1656">
        <v>39.4</v>
      </c>
      <c r="N1656">
        <v>12.3</v>
      </c>
      <c r="O1656">
        <v>17.5</v>
      </c>
      <c r="S1656">
        <v>2.3</v>
      </c>
      <c r="T1656">
        <v>5.8</v>
      </c>
      <c r="U1656">
        <v>12.3</v>
      </c>
      <c r="V1656">
        <v>881</v>
      </c>
      <c r="W1656">
        <v>20</v>
      </c>
      <c r="X1656" t="s">
        <v>115</v>
      </c>
    </row>
    <row r="1657" spans="1:24">
      <c r="A1657" t="str">
        <f>Hyperlink("https://www.diodes.com/part/view/DMTH4008LPDWQ","DMTH4008LPDWQ")</f>
        <v>DMTH4008LPDWQ</v>
      </c>
      <c r="B1657" t="str">
        <f>Hyperlink("https://www.diodes.com/assets/Datasheets/DMTH4008LPDWQ.pdf","DMTH4008LPDWQ Datasheet")</f>
        <v>DMTH4008LPDWQ Datasheet</v>
      </c>
      <c r="C1657" t="s">
        <v>760</v>
      </c>
      <c r="D1657" t="s">
        <v>25</v>
      </c>
      <c r="E1657" t="s">
        <v>33</v>
      </c>
      <c r="F1657" t="s">
        <v>35</v>
      </c>
      <c r="G1657" t="s">
        <v>28</v>
      </c>
      <c r="H1657">
        <v>40</v>
      </c>
      <c r="I1657">
        <v>20</v>
      </c>
      <c r="J1657">
        <v>10</v>
      </c>
      <c r="K1657">
        <v>46.2</v>
      </c>
      <c r="L1657">
        <v>2.67</v>
      </c>
      <c r="M1657">
        <v>39.4</v>
      </c>
      <c r="N1657">
        <v>12.3</v>
      </c>
      <c r="O1657">
        <v>17.5</v>
      </c>
      <c r="S1657">
        <v>2.3</v>
      </c>
      <c r="T1657">
        <v>5.8</v>
      </c>
      <c r="U1657">
        <v>12.3</v>
      </c>
      <c r="V1657">
        <v>881</v>
      </c>
      <c r="W1657">
        <v>20</v>
      </c>
      <c r="X1657" t="s">
        <v>115</v>
      </c>
    </row>
    <row r="1658" spans="1:24">
      <c r="A1658" t="str">
        <f>Hyperlink("https://www.diodes.com/part/view/DMTH4008LPS","DMTH4008LPS")</f>
        <v>DMTH4008LPS</v>
      </c>
      <c r="B1658" t="str">
        <f>Hyperlink("https://www.diodes.com/assets/Datasheets/DMTH4008LPS.pdf","DMTH4008LPS Datasheet")</f>
        <v>DMTH4008LPS Datasheet</v>
      </c>
      <c r="C1658" t="s">
        <v>700</v>
      </c>
      <c r="D1658" t="s">
        <v>25</v>
      </c>
      <c r="E1658" t="s">
        <v>26</v>
      </c>
      <c r="F1658" t="s">
        <v>27</v>
      </c>
      <c r="G1658" t="s">
        <v>28</v>
      </c>
      <c r="H1658">
        <v>40</v>
      </c>
      <c r="I1658">
        <v>20</v>
      </c>
      <c r="J1658">
        <v>14.4</v>
      </c>
      <c r="K1658">
        <v>64.8</v>
      </c>
      <c r="L1658">
        <v>2.99</v>
      </c>
      <c r="M1658">
        <v>55.5</v>
      </c>
      <c r="N1658">
        <v>8.8</v>
      </c>
      <c r="O1658">
        <v>13</v>
      </c>
      <c r="S1658">
        <v>3</v>
      </c>
      <c r="T1658">
        <v>7.4</v>
      </c>
      <c r="U1658">
        <v>15.3</v>
      </c>
      <c r="V1658">
        <v>1088</v>
      </c>
      <c r="W1658">
        <v>20</v>
      </c>
      <c r="X1658" t="s">
        <v>617</v>
      </c>
    </row>
    <row r="1659" spans="1:24">
      <c r="A1659" t="str">
        <f>Hyperlink("https://www.diodes.com/part/view/DMTH4008LPSQ","DMTH4008LPSQ")</f>
        <v>DMTH4008LPSQ</v>
      </c>
      <c r="B1659" t="str">
        <f>Hyperlink("https://www.diodes.com/assets/Datasheets/DMTH4008LPSQ.pdf","DMTH4008LPSQ Datasheet")</f>
        <v>DMTH4008LPSQ Datasheet</v>
      </c>
      <c r="C1659" t="s">
        <v>760</v>
      </c>
      <c r="D1659" t="s">
        <v>25</v>
      </c>
      <c r="E1659" t="s">
        <v>33</v>
      </c>
      <c r="F1659" t="s">
        <v>27</v>
      </c>
      <c r="G1659" t="s">
        <v>28</v>
      </c>
      <c r="H1659">
        <v>40</v>
      </c>
      <c r="I1659">
        <v>20</v>
      </c>
      <c r="J1659">
        <v>14.4</v>
      </c>
      <c r="K1659">
        <v>64.8</v>
      </c>
      <c r="L1659">
        <v>2.99</v>
      </c>
      <c r="M1659">
        <v>55.5</v>
      </c>
      <c r="N1659">
        <v>8.8</v>
      </c>
      <c r="O1659">
        <v>13</v>
      </c>
      <c r="S1659">
        <v>3</v>
      </c>
      <c r="T1659">
        <v>7.4</v>
      </c>
      <c r="U1659">
        <v>15.3</v>
      </c>
      <c r="V1659">
        <v>1088</v>
      </c>
      <c r="W1659">
        <v>20</v>
      </c>
      <c r="X1659" t="s">
        <v>617</v>
      </c>
    </row>
    <row r="1660" spans="1:24">
      <c r="A1660" t="str">
        <f>Hyperlink("https://www.diodes.com/part/view/DMTH4008LPSWQ","DMTH4008LPSWQ")</f>
        <v>DMTH4008LPSWQ</v>
      </c>
      <c r="B1660" t="str">
        <f>Hyperlink("https://www.diodes.com/assets/Datasheets/DMTH4008LPSWQ.pdf","DMTH4008LPSWQ Datasheet")</f>
        <v>DMTH4008LPSWQ Datasheet</v>
      </c>
      <c r="C1660" t="s">
        <v>997</v>
      </c>
      <c r="D1660" t="s">
        <v>25</v>
      </c>
      <c r="E1660" t="s">
        <v>33</v>
      </c>
      <c r="F1660" t="s">
        <v>27</v>
      </c>
      <c r="G1660" t="s">
        <v>28</v>
      </c>
      <c r="H1660">
        <v>40</v>
      </c>
      <c r="I1660">
        <v>20</v>
      </c>
      <c r="J1660">
        <v>14.4</v>
      </c>
      <c r="K1660">
        <v>64.8</v>
      </c>
      <c r="L1660">
        <v>2.99</v>
      </c>
      <c r="M1660">
        <v>55.5</v>
      </c>
      <c r="N1660">
        <v>8.8</v>
      </c>
      <c r="O1660">
        <v>13</v>
      </c>
      <c r="R1660">
        <v>1</v>
      </c>
      <c r="S1660">
        <v>3</v>
      </c>
      <c r="T1660">
        <v>7.4</v>
      </c>
      <c r="U1660">
        <v>15.3</v>
      </c>
      <c r="V1660">
        <v>1088</v>
      </c>
      <c r="W1660">
        <v>20</v>
      </c>
      <c r="X1660" t="s">
        <v>757</v>
      </c>
    </row>
    <row r="1661" spans="1:24">
      <c r="A1661" t="str">
        <f>Hyperlink("https://www.diodes.com/part/view/DMTH4011SPD","DMTH4011SPD")</f>
        <v>DMTH4011SPD</v>
      </c>
      <c r="B1661" t="str">
        <f>Hyperlink("https://www.diodes.com/assets/Datasheets/DMTH4011SPD.pdf","DMTH4011SPD Datasheet")</f>
        <v>DMTH4011SPD Datasheet</v>
      </c>
      <c r="C1661" t="s">
        <v>763</v>
      </c>
      <c r="D1661" t="s">
        <v>25</v>
      </c>
      <c r="E1661" t="s">
        <v>26</v>
      </c>
      <c r="F1661" t="s">
        <v>35</v>
      </c>
      <c r="G1661" t="s">
        <v>28</v>
      </c>
      <c r="H1661">
        <v>40</v>
      </c>
      <c r="I1661">
        <v>20</v>
      </c>
      <c r="J1661">
        <v>11.1</v>
      </c>
      <c r="K1661">
        <v>42</v>
      </c>
      <c r="L1661">
        <v>2.6</v>
      </c>
      <c r="M1661">
        <v>37.5</v>
      </c>
      <c r="N1661">
        <v>15</v>
      </c>
      <c r="S1661">
        <v>4</v>
      </c>
      <c r="U1661">
        <v>10.6</v>
      </c>
      <c r="V1661">
        <v>805</v>
      </c>
      <c r="W1661">
        <v>20</v>
      </c>
      <c r="X1661" t="s">
        <v>93</v>
      </c>
    </row>
    <row r="1662" spans="1:24">
      <c r="A1662" t="str">
        <f>Hyperlink("https://www.diodes.com/part/view/DMTH4011SPDQ","DMTH4011SPDQ")</f>
        <v>DMTH4011SPDQ</v>
      </c>
      <c r="B1662" t="str">
        <f>Hyperlink("https://www.diodes.com/assets/Datasheets/DMTH4011SPDQ.pdf","DMTH4011SPDQ Datasheet")</f>
        <v>DMTH4011SPDQ Datasheet</v>
      </c>
      <c r="C1662" t="s">
        <v>763</v>
      </c>
      <c r="D1662" t="s">
        <v>25</v>
      </c>
      <c r="E1662" t="s">
        <v>33</v>
      </c>
      <c r="F1662" t="s">
        <v>35</v>
      </c>
      <c r="G1662" t="s">
        <v>28</v>
      </c>
      <c r="H1662">
        <v>40</v>
      </c>
      <c r="I1662">
        <v>20</v>
      </c>
      <c r="J1662">
        <v>11.1</v>
      </c>
      <c r="K1662">
        <v>42</v>
      </c>
      <c r="L1662">
        <v>2.6</v>
      </c>
      <c r="M1662">
        <v>37.5</v>
      </c>
      <c r="N1662">
        <v>15</v>
      </c>
      <c r="S1662">
        <v>4</v>
      </c>
      <c r="U1662">
        <v>10.6</v>
      </c>
      <c r="V1662">
        <v>805</v>
      </c>
      <c r="W1662">
        <v>20</v>
      </c>
      <c r="X1662" t="s">
        <v>93</v>
      </c>
    </row>
    <row r="1663" spans="1:24">
      <c r="A1663" t="str">
        <f>Hyperlink("https://www.diodes.com/part/view/DMTH4011SPDWQ","DMTH4011SPDWQ")</f>
        <v>DMTH4011SPDWQ</v>
      </c>
      <c r="B1663" t="str">
        <f>Hyperlink("https://www.diodes.com/assets/Datasheets/DMTH4011SPDWQ.pdf","DMTH4011SPDWQ Datasheet")</f>
        <v>DMTH4011SPDWQ Datasheet</v>
      </c>
      <c r="C1663" t="s">
        <v>1000</v>
      </c>
      <c r="D1663" t="s">
        <v>25</v>
      </c>
      <c r="E1663" t="s">
        <v>33</v>
      </c>
      <c r="F1663" t="s">
        <v>27</v>
      </c>
      <c r="G1663" t="s">
        <v>28</v>
      </c>
      <c r="H1663">
        <v>40</v>
      </c>
      <c r="I1663">
        <v>20</v>
      </c>
      <c r="J1663">
        <v>11.1</v>
      </c>
      <c r="K1663">
        <v>42</v>
      </c>
      <c r="L1663">
        <v>2.6</v>
      </c>
      <c r="M1663">
        <v>37.5</v>
      </c>
      <c r="N1663">
        <v>15</v>
      </c>
      <c r="R1663">
        <v>2</v>
      </c>
      <c r="S1663">
        <v>4</v>
      </c>
      <c r="U1663">
        <v>10.6</v>
      </c>
      <c r="V1663">
        <v>805</v>
      </c>
      <c r="W1663">
        <v>20</v>
      </c>
      <c r="X1663" t="s">
        <v>115</v>
      </c>
    </row>
    <row r="1664" spans="1:24">
      <c r="A1664" t="str">
        <f>Hyperlink("https://www.diodes.com/part/view/DMTH4014LDVW","DMTH4014LDVW")</f>
        <v>DMTH4014LDVW</v>
      </c>
      <c r="B1664" t="str">
        <f>Hyperlink("https://www.diodes.com/assets/Datasheets/DMTH4014LDVW.pdf","DMTH4014LDVW Datasheet")</f>
        <v>DMTH4014LDVW Datasheet</v>
      </c>
      <c r="C1664" t="s">
        <v>760</v>
      </c>
      <c r="D1664" t="s">
        <v>28</v>
      </c>
      <c r="E1664" t="s">
        <v>26</v>
      </c>
      <c r="F1664" t="s">
        <v>35</v>
      </c>
      <c r="G1664" t="s">
        <v>28</v>
      </c>
      <c r="H1664">
        <v>40</v>
      </c>
      <c r="I1664">
        <v>20</v>
      </c>
      <c r="J1664">
        <v>10.2</v>
      </c>
      <c r="L1664">
        <v>2.6</v>
      </c>
      <c r="N1664">
        <v>15</v>
      </c>
      <c r="O1664">
        <v>25</v>
      </c>
      <c r="S1664">
        <v>3</v>
      </c>
      <c r="T1664">
        <v>5.7</v>
      </c>
      <c r="U1664">
        <v>11.2</v>
      </c>
      <c r="X1664" t="s">
        <v>529</v>
      </c>
    </row>
    <row r="1665" spans="1:24">
      <c r="A1665" t="str">
        <f>Hyperlink("https://www.diodes.com/part/view/DMTH4014LDVWQ","DMTH4014LDVWQ")</f>
        <v>DMTH4014LDVWQ</v>
      </c>
      <c r="B1665" t="str">
        <f>Hyperlink("https://www.diodes.com/assets/Datasheets/DMTH4014LDVWQ.pdf","DMTH4014LDVWQ Datasheet")</f>
        <v>DMTH4014LDVWQ Datasheet</v>
      </c>
      <c r="C1665" t="s">
        <v>760</v>
      </c>
      <c r="D1665" t="s">
        <v>25</v>
      </c>
      <c r="E1665" t="s">
        <v>33</v>
      </c>
      <c r="F1665" t="s">
        <v>35</v>
      </c>
      <c r="G1665" t="s">
        <v>28</v>
      </c>
      <c r="H1665">
        <v>40</v>
      </c>
      <c r="I1665">
        <v>20</v>
      </c>
      <c r="J1665">
        <v>10.2</v>
      </c>
      <c r="K1665">
        <v>27.5</v>
      </c>
      <c r="L1665">
        <v>2.6</v>
      </c>
      <c r="M1665">
        <v>27.5</v>
      </c>
      <c r="N1665">
        <v>15</v>
      </c>
      <c r="O1665">
        <v>25</v>
      </c>
      <c r="S1665">
        <v>3</v>
      </c>
      <c r="T1665">
        <v>5.7</v>
      </c>
      <c r="U1665">
        <v>11.2</v>
      </c>
      <c r="V1665">
        <v>750</v>
      </c>
      <c r="W1665">
        <v>20</v>
      </c>
      <c r="X1665" t="s">
        <v>529</v>
      </c>
    </row>
    <row r="1666" spans="1:24">
      <c r="A1666" t="str">
        <f>Hyperlink("https://www.diodes.com/part/view/DMTH4014LFVW","DMTH4014LFVW")</f>
        <v>DMTH4014LFVW</v>
      </c>
      <c r="B1666" t="str">
        <f>Hyperlink("https://www.diodes.com/assets/Datasheets/DMTH4014LFVW.pdf","DMTH4014LFVW Datasheet")</f>
        <v>DMTH4014LFVW Datasheet</v>
      </c>
      <c r="C1666" t="s">
        <v>700</v>
      </c>
      <c r="D1666" t="s">
        <v>28</v>
      </c>
      <c r="E1666" t="s">
        <v>26</v>
      </c>
      <c r="F1666" t="s">
        <v>27</v>
      </c>
      <c r="G1666" t="s">
        <v>28</v>
      </c>
      <c r="H1666">
        <v>40</v>
      </c>
      <c r="I1666">
        <v>20</v>
      </c>
      <c r="J1666">
        <v>11.5</v>
      </c>
      <c r="K1666">
        <v>49.8</v>
      </c>
      <c r="L1666">
        <v>3.1</v>
      </c>
      <c r="M1666">
        <v>49.8</v>
      </c>
      <c r="N1666">
        <v>13.7</v>
      </c>
      <c r="O1666">
        <v>26</v>
      </c>
      <c r="S1666">
        <v>3</v>
      </c>
      <c r="T1666">
        <v>5.7</v>
      </c>
      <c r="U1666">
        <v>11.2</v>
      </c>
      <c r="V1666">
        <v>750</v>
      </c>
      <c r="W1666">
        <v>20</v>
      </c>
      <c r="X1666" t="s">
        <v>529</v>
      </c>
    </row>
    <row r="1667" spans="1:24">
      <c r="A1667" t="str">
        <f>Hyperlink("https://www.diodes.com/part/view/DMTH4014LFVWQ","DMTH4014LFVWQ")</f>
        <v>DMTH4014LFVWQ</v>
      </c>
      <c r="B1667" t="str">
        <f>Hyperlink("https://www.diodes.com/assets/Datasheets/DMTH4014LFVWQ.pdf","DMTH4014LFVWQ Datasheet")</f>
        <v>DMTH4014LFVWQ Datasheet</v>
      </c>
      <c r="C1667" t="s">
        <v>700</v>
      </c>
      <c r="D1667" t="s">
        <v>25</v>
      </c>
      <c r="E1667" t="s">
        <v>33</v>
      </c>
      <c r="F1667" t="s">
        <v>27</v>
      </c>
      <c r="G1667" t="s">
        <v>28</v>
      </c>
      <c r="H1667">
        <v>40</v>
      </c>
      <c r="I1667">
        <v>20</v>
      </c>
      <c r="J1667">
        <v>11.5</v>
      </c>
      <c r="K1667">
        <v>49.8</v>
      </c>
      <c r="L1667">
        <v>3.1</v>
      </c>
      <c r="M1667">
        <v>49.8</v>
      </c>
      <c r="N1667">
        <v>13.7</v>
      </c>
      <c r="O1667">
        <v>26</v>
      </c>
      <c r="S1667">
        <v>3</v>
      </c>
      <c r="T1667">
        <v>5.7</v>
      </c>
      <c r="U1667">
        <v>11.2</v>
      </c>
      <c r="V1667">
        <v>750</v>
      </c>
      <c r="W1667">
        <v>20</v>
      </c>
      <c r="X1667" t="s">
        <v>529</v>
      </c>
    </row>
    <row r="1668" spans="1:24">
      <c r="A1668" t="str">
        <f>Hyperlink("https://www.diodes.com/part/view/DMTH4014LPD","DMTH4014LPD")</f>
        <v>DMTH4014LPD</v>
      </c>
      <c r="B1668" t="str">
        <f>Hyperlink("https://www.diodes.com/assets/Datasheets/DMTH4014LPD.pdf","DMTH4014LPD Datasheet")</f>
        <v>DMTH4014LPD Datasheet</v>
      </c>
      <c r="C1668" t="s">
        <v>34</v>
      </c>
      <c r="D1668" t="s">
        <v>25</v>
      </c>
      <c r="E1668" t="s">
        <v>26</v>
      </c>
      <c r="F1668" t="s">
        <v>35</v>
      </c>
      <c r="G1668" t="s">
        <v>28</v>
      </c>
      <c r="H1668">
        <v>40</v>
      </c>
      <c r="I1668">
        <v>20</v>
      </c>
      <c r="J1668">
        <v>10.6</v>
      </c>
      <c r="K1668">
        <v>43.6</v>
      </c>
      <c r="L1668">
        <v>2.41</v>
      </c>
      <c r="M1668">
        <v>42.8</v>
      </c>
      <c r="N1668">
        <v>15</v>
      </c>
      <c r="O1668">
        <v>25</v>
      </c>
      <c r="S1668">
        <v>3</v>
      </c>
      <c r="T1668">
        <v>5.2</v>
      </c>
      <c r="U1668">
        <v>10.2</v>
      </c>
      <c r="V1668">
        <v>733</v>
      </c>
      <c r="W1668">
        <v>20</v>
      </c>
      <c r="X1668" t="s">
        <v>93</v>
      </c>
    </row>
    <row r="1669" spans="1:24">
      <c r="A1669" t="str">
        <f>Hyperlink("https://www.diodes.com/part/view/DMTH4014LPDQ","DMTH4014LPDQ")</f>
        <v>DMTH4014LPDQ</v>
      </c>
      <c r="B1669" t="str">
        <f>Hyperlink("https://www.diodes.com/assets/Datasheets/DMTH4014LPDQ.pdf","DMTH4014LPDQ Datasheet")</f>
        <v>DMTH4014LPDQ Datasheet</v>
      </c>
      <c r="C1669" t="s">
        <v>763</v>
      </c>
      <c r="D1669" t="s">
        <v>25</v>
      </c>
      <c r="E1669" t="s">
        <v>33</v>
      </c>
      <c r="F1669" t="s">
        <v>35</v>
      </c>
      <c r="G1669" t="s">
        <v>28</v>
      </c>
      <c r="H1669">
        <v>40</v>
      </c>
      <c r="I1669">
        <v>20</v>
      </c>
      <c r="J1669">
        <v>10.6</v>
      </c>
      <c r="K1669">
        <v>43.6</v>
      </c>
      <c r="L1669">
        <v>2.41</v>
      </c>
      <c r="M1669">
        <v>42.8</v>
      </c>
      <c r="N1669">
        <v>15</v>
      </c>
      <c r="O1669">
        <v>25</v>
      </c>
      <c r="S1669">
        <v>3</v>
      </c>
      <c r="T1669">
        <v>5.2</v>
      </c>
      <c r="U1669">
        <v>10.2</v>
      </c>
      <c r="V1669">
        <v>733</v>
      </c>
      <c r="W1669">
        <v>20</v>
      </c>
      <c r="X1669" t="s">
        <v>93</v>
      </c>
    </row>
    <row r="1670" spans="1:24">
      <c r="A1670" t="str">
        <f>Hyperlink("https://www.diodes.com/part/view/DMTH4014LPDWQ","DMTH4014LPDWQ")</f>
        <v>DMTH4014LPDWQ</v>
      </c>
      <c r="B1670" t="str">
        <f>Hyperlink("https://www.diodes.com/assets/Datasheets/DMTH4014LPDWQ.pdf","DMTH4014LPDWQ Datasheet")</f>
        <v>DMTH4014LPDWQ Datasheet</v>
      </c>
      <c r="C1670" t="s">
        <v>1000</v>
      </c>
      <c r="D1670" t="s">
        <v>25</v>
      </c>
      <c r="E1670" t="s">
        <v>33</v>
      </c>
      <c r="F1670" t="s">
        <v>27</v>
      </c>
      <c r="G1670" t="s">
        <v>28</v>
      </c>
      <c r="H1670">
        <v>40</v>
      </c>
      <c r="I1670">
        <v>20</v>
      </c>
      <c r="J1670">
        <v>10.6</v>
      </c>
      <c r="K1670">
        <v>43.6</v>
      </c>
      <c r="L1670">
        <v>2.4</v>
      </c>
      <c r="M1670">
        <v>42.8</v>
      </c>
      <c r="N1670">
        <v>15</v>
      </c>
      <c r="O1670">
        <v>25</v>
      </c>
      <c r="R1670">
        <v>1</v>
      </c>
      <c r="S1670">
        <v>3</v>
      </c>
      <c r="T1670">
        <v>5.2</v>
      </c>
      <c r="U1670">
        <v>10.2</v>
      </c>
      <c r="V1670">
        <v>733</v>
      </c>
      <c r="W1670">
        <v>20</v>
      </c>
      <c r="X1670" t="s">
        <v>115</v>
      </c>
    </row>
    <row r="1671" spans="1:24">
      <c r="A1671" t="str">
        <f>Hyperlink("https://www.diodes.com/part/view/DMTH4014LPSW","DMTH4014LPSW")</f>
        <v>DMTH4014LPSW</v>
      </c>
      <c r="B1671" t="str">
        <f>Hyperlink("https://www.diodes.com/assets/Datasheets/DMTH4014LPSW.pdf","DMTH4014LPSW Datasheet")</f>
        <v>DMTH4014LPSW Datasheet</v>
      </c>
      <c r="C1671" t="s">
        <v>760</v>
      </c>
      <c r="D1671" t="s">
        <v>28</v>
      </c>
      <c r="E1671" t="s">
        <v>26</v>
      </c>
      <c r="F1671" t="s">
        <v>27</v>
      </c>
      <c r="G1671" t="s">
        <v>28</v>
      </c>
      <c r="H1671">
        <v>40</v>
      </c>
      <c r="I1671">
        <v>20</v>
      </c>
      <c r="K1671">
        <v>43.5</v>
      </c>
      <c r="L1671">
        <v>4</v>
      </c>
      <c r="M1671">
        <v>43.5</v>
      </c>
      <c r="N1671">
        <v>14.5</v>
      </c>
      <c r="O1671">
        <v>25</v>
      </c>
      <c r="S1671">
        <v>3</v>
      </c>
      <c r="T1671">
        <v>5.7</v>
      </c>
      <c r="U1671">
        <v>11.2</v>
      </c>
      <c r="V1671">
        <v>750</v>
      </c>
      <c r="W1671">
        <v>20</v>
      </c>
      <c r="X1671" t="s">
        <v>617</v>
      </c>
    </row>
    <row r="1672" spans="1:24">
      <c r="A1672" t="str">
        <f>Hyperlink("https://www.diodes.com/part/view/DMTH4014LPSWQ","DMTH4014LPSWQ")</f>
        <v>DMTH4014LPSWQ</v>
      </c>
      <c r="B1672" t="str">
        <f>Hyperlink("https://www.diodes.com/assets/Datasheets/DMTH4014LPSWQ.pdf","DMTH4014LPSWQ Datasheet")</f>
        <v>DMTH4014LPSWQ Datasheet</v>
      </c>
      <c r="C1672" t="s">
        <v>760</v>
      </c>
      <c r="D1672" t="s">
        <v>25</v>
      </c>
      <c r="E1672" t="s">
        <v>33</v>
      </c>
      <c r="F1672" t="s">
        <v>27</v>
      </c>
      <c r="G1672" t="s">
        <v>28</v>
      </c>
      <c r="H1672">
        <v>40</v>
      </c>
      <c r="I1672">
        <v>20</v>
      </c>
      <c r="K1672">
        <v>43.5</v>
      </c>
      <c r="L1672">
        <v>4</v>
      </c>
      <c r="M1672">
        <v>43.5</v>
      </c>
      <c r="N1672">
        <v>14.5</v>
      </c>
      <c r="O1672">
        <v>25</v>
      </c>
      <c r="S1672">
        <v>3</v>
      </c>
      <c r="T1672">
        <v>5.7</v>
      </c>
      <c r="U1672">
        <v>11.2</v>
      </c>
      <c r="V1672">
        <v>750</v>
      </c>
      <c r="W1672">
        <v>20</v>
      </c>
      <c r="X1672" t="s">
        <v>617</v>
      </c>
    </row>
    <row r="1673" spans="1:24">
      <c r="A1673" t="str">
        <f>Hyperlink("https://www.diodes.com/part/view/DMTH4014SPSW","DMTH4014SPSW")</f>
        <v>DMTH4014SPSW</v>
      </c>
      <c r="B1673" t="str">
        <f>Hyperlink("https://www.diodes.com/assets/Datasheets/DMTH4014SPSW.pdf","DMTH4014SPSW Datasheet")</f>
        <v>DMTH4014SPSW Datasheet</v>
      </c>
      <c r="C1673" t="s">
        <v>760</v>
      </c>
      <c r="D1673" t="s">
        <v>28</v>
      </c>
      <c r="E1673" t="s">
        <v>26</v>
      </c>
      <c r="F1673" t="s">
        <v>27</v>
      </c>
      <c r="G1673" t="s">
        <v>28</v>
      </c>
      <c r="H1673">
        <v>40</v>
      </c>
      <c r="I1673">
        <v>20</v>
      </c>
      <c r="K1673">
        <v>43.5</v>
      </c>
      <c r="L1673">
        <v>4</v>
      </c>
      <c r="M1673">
        <v>43.5</v>
      </c>
      <c r="N1673">
        <v>14.8</v>
      </c>
      <c r="S1673">
        <v>4</v>
      </c>
      <c r="U1673">
        <v>10.6</v>
      </c>
      <c r="V1673">
        <v>805</v>
      </c>
      <c r="W1673">
        <v>20</v>
      </c>
      <c r="X1673" t="s">
        <v>617</v>
      </c>
    </row>
    <row r="1674" spans="1:24">
      <c r="A1674" t="str">
        <f>Hyperlink("https://www.diodes.com/part/view/DMTH4014SPSWQ","DMTH4014SPSWQ")</f>
        <v>DMTH4014SPSWQ</v>
      </c>
      <c r="B1674" t="str">
        <f>Hyperlink("https://www.diodes.com/assets/Datasheets/DMTH4014SPSWQ.pdf","DMTH4014SPSWQ Datasheet")</f>
        <v>DMTH4014SPSWQ Datasheet</v>
      </c>
      <c r="C1674" t="s">
        <v>760</v>
      </c>
      <c r="D1674" t="s">
        <v>25</v>
      </c>
      <c r="E1674" t="s">
        <v>33</v>
      </c>
      <c r="F1674" t="s">
        <v>27</v>
      </c>
      <c r="G1674" t="s">
        <v>28</v>
      </c>
      <c r="H1674">
        <v>40</v>
      </c>
      <c r="I1674">
        <v>20</v>
      </c>
      <c r="K1674">
        <v>43.5</v>
      </c>
      <c r="L1674">
        <v>4</v>
      </c>
      <c r="M1674">
        <v>43.5</v>
      </c>
      <c r="N1674">
        <v>14.8</v>
      </c>
      <c r="S1674">
        <v>4</v>
      </c>
      <c r="U1674">
        <v>10.6</v>
      </c>
      <c r="V1674">
        <v>805</v>
      </c>
      <c r="W1674">
        <v>20</v>
      </c>
      <c r="X1674" t="s">
        <v>617</v>
      </c>
    </row>
    <row r="1675" spans="1:24">
      <c r="A1675" t="str">
        <f>Hyperlink("https://www.diodes.com/part/view/DMTH41M2SPS","DMTH41M2SPS")</f>
        <v>DMTH41M2SPS</v>
      </c>
      <c r="B1675" t="str">
        <f>Hyperlink("https://www.diodes.com/assets/Datasheets/DMTH41M2SPS.pdf","DMTH41M2SPS Datasheet")</f>
        <v>DMTH41M2SPS Datasheet</v>
      </c>
      <c r="C1675" t="s">
        <v>760</v>
      </c>
      <c r="D1675" t="s">
        <v>28</v>
      </c>
      <c r="E1675" t="s">
        <v>26</v>
      </c>
      <c r="F1675" t="s">
        <v>27</v>
      </c>
      <c r="G1675" t="s">
        <v>28</v>
      </c>
      <c r="H1675">
        <v>40</v>
      </c>
      <c r="I1675">
        <v>20</v>
      </c>
      <c r="K1675">
        <v>225</v>
      </c>
      <c r="L1675">
        <v>3.4</v>
      </c>
      <c r="M1675">
        <v>158</v>
      </c>
      <c r="N1675">
        <v>1.2</v>
      </c>
      <c r="R1675">
        <v>2</v>
      </c>
      <c r="S1675">
        <v>4</v>
      </c>
      <c r="U1675">
        <v>138</v>
      </c>
      <c r="V1675">
        <v>11085</v>
      </c>
      <c r="W1675">
        <v>20</v>
      </c>
      <c r="X1675" t="s">
        <v>791</v>
      </c>
    </row>
    <row r="1676" spans="1:24">
      <c r="A1676" t="str">
        <f>Hyperlink("https://www.diodes.com/part/view/DMTH41M2SPSQ","DMTH41M2SPSQ")</f>
        <v>DMTH41M2SPSQ</v>
      </c>
      <c r="B1676" t="str">
        <f>Hyperlink("https://www.diodes.com/assets/Datasheets/DMTH41M2SPSQ.pdf","DMTH41M2SPSQ Datasheet")</f>
        <v>DMTH41M2SPSQ Datasheet</v>
      </c>
      <c r="C1676" t="s">
        <v>760</v>
      </c>
      <c r="D1676" t="s">
        <v>25</v>
      </c>
      <c r="E1676" t="s">
        <v>33</v>
      </c>
      <c r="F1676" t="s">
        <v>27</v>
      </c>
      <c r="G1676" t="s">
        <v>28</v>
      </c>
      <c r="H1676">
        <v>40</v>
      </c>
      <c r="I1676">
        <v>20</v>
      </c>
      <c r="K1676">
        <v>225</v>
      </c>
      <c r="L1676">
        <v>3.4</v>
      </c>
      <c r="M1676">
        <v>158</v>
      </c>
      <c r="N1676">
        <v>1.2</v>
      </c>
      <c r="R1676">
        <v>2</v>
      </c>
      <c r="S1676">
        <v>4</v>
      </c>
      <c r="U1676">
        <v>138</v>
      </c>
      <c r="V1676">
        <v>11085</v>
      </c>
      <c r="W1676">
        <v>20</v>
      </c>
      <c r="X1676" t="s">
        <v>791</v>
      </c>
    </row>
    <row r="1677" spans="1:24">
      <c r="A1677" t="str">
        <f>Hyperlink("https://www.diodes.com/part/view/DMTH41M8SPS","DMTH41M8SPS")</f>
        <v>DMTH41M8SPS</v>
      </c>
      <c r="B1677" t="str">
        <f>Hyperlink("https://www.diodes.com/assets/Datasheets/DMTH41M8SPS.pdf","DMTH41M8SPS Datasheet")</f>
        <v>DMTH41M8SPS Datasheet</v>
      </c>
      <c r="C1677" t="s">
        <v>760</v>
      </c>
      <c r="D1677" t="s">
        <v>25</v>
      </c>
      <c r="E1677" t="s">
        <v>26</v>
      </c>
      <c r="F1677" t="s">
        <v>27</v>
      </c>
      <c r="G1677" t="s">
        <v>28</v>
      </c>
      <c r="H1677">
        <v>40</v>
      </c>
      <c r="I1677">
        <v>20</v>
      </c>
      <c r="K1677">
        <v>100</v>
      </c>
      <c r="L1677">
        <v>3.03</v>
      </c>
      <c r="M1677">
        <v>150</v>
      </c>
      <c r="N1677">
        <v>1.8</v>
      </c>
      <c r="S1677">
        <v>4</v>
      </c>
      <c r="U1677">
        <v>79.5</v>
      </c>
      <c r="V1677">
        <v>6968</v>
      </c>
      <c r="W1677">
        <v>20</v>
      </c>
      <c r="X1677" t="s">
        <v>617</v>
      </c>
    </row>
    <row r="1678" spans="1:24">
      <c r="A1678" t="str">
        <f>Hyperlink("https://www.diodes.com/part/view/DMTH41M8SPSQ","DMTH41M8SPSQ")</f>
        <v>DMTH41M8SPSQ</v>
      </c>
      <c r="B1678" t="str">
        <f>Hyperlink("https://www.diodes.com/assets/Datasheets/DMTH41M8SPSQ.pdf","DMTH41M8SPSQ Datasheet")</f>
        <v>DMTH41M8SPSQ Datasheet</v>
      </c>
      <c r="C1678" t="s">
        <v>760</v>
      </c>
      <c r="D1678" t="s">
        <v>25</v>
      </c>
      <c r="E1678" t="s">
        <v>33</v>
      </c>
      <c r="F1678" t="s">
        <v>27</v>
      </c>
      <c r="G1678" t="s">
        <v>28</v>
      </c>
      <c r="H1678">
        <v>40</v>
      </c>
      <c r="I1678">
        <v>20</v>
      </c>
      <c r="K1678">
        <v>100</v>
      </c>
      <c r="L1678">
        <v>3.03</v>
      </c>
      <c r="M1678">
        <v>150</v>
      </c>
      <c r="N1678">
        <v>1.8</v>
      </c>
      <c r="S1678">
        <v>4</v>
      </c>
      <c r="U1678">
        <v>79.5</v>
      </c>
      <c r="V1678">
        <v>6968</v>
      </c>
      <c r="W1678">
        <v>20</v>
      </c>
      <c r="X1678" t="s">
        <v>617</v>
      </c>
    </row>
    <row r="1679" spans="1:24">
      <c r="A1679" t="str">
        <f>Hyperlink("https://www.diodes.com/part/view/DMTH42M4SPS","DMTH42M4SPS")</f>
        <v>DMTH42M4SPS</v>
      </c>
      <c r="B1679" t="str">
        <f>Hyperlink("https://www.diodes.com/assets/Datasheets/DMTH42M4SPS.pdf","DMTH42M4SPS Datasheet")</f>
        <v>DMTH42M4SPS Datasheet</v>
      </c>
      <c r="C1679" t="s">
        <v>760</v>
      </c>
      <c r="D1679" t="s">
        <v>28</v>
      </c>
      <c r="E1679" t="s">
        <v>26</v>
      </c>
      <c r="F1679" t="s">
        <v>27</v>
      </c>
      <c r="G1679" t="s">
        <v>28</v>
      </c>
      <c r="H1679">
        <v>40</v>
      </c>
      <c r="I1679">
        <v>20</v>
      </c>
      <c r="K1679">
        <v>200</v>
      </c>
      <c r="L1679">
        <v>3.06</v>
      </c>
      <c r="M1679">
        <v>150</v>
      </c>
      <c r="N1679">
        <v>2.4</v>
      </c>
      <c r="R1679">
        <v>2</v>
      </c>
      <c r="S1679">
        <v>4</v>
      </c>
      <c r="U1679">
        <v>79.5</v>
      </c>
      <c r="V1679">
        <v>6968</v>
      </c>
      <c r="W1679">
        <v>20</v>
      </c>
      <c r="X1679" t="s">
        <v>791</v>
      </c>
    </row>
    <row r="1680" spans="1:24">
      <c r="A1680" t="str">
        <f>Hyperlink("https://www.diodes.com/part/view/DMTH42M4SPSQ","DMTH42M4SPSQ")</f>
        <v>DMTH42M4SPSQ</v>
      </c>
      <c r="B1680" t="str">
        <f>Hyperlink("https://www.diodes.com/assets/Datasheets/DMTH42M4SPSQ.pdf","DMTH42M4SPSQ Datasheet")</f>
        <v>DMTH42M4SPSQ Datasheet</v>
      </c>
      <c r="C1680" t="s">
        <v>1002</v>
      </c>
      <c r="D1680" t="s">
        <v>25</v>
      </c>
      <c r="E1680" t="s">
        <v>33</v>
      </c>
      <c r="F1680" t="s">
        <v>27</v>
      </c>
      <c r="G1680" t="s">
        <v>28</v>
      </c>
      <c r="H1680">
        <v>40</v>
      </c>
      <c r="I1680">
        <v>20</v>
      </c>
      <c r="K1680">
        <v>200</v>
      </c>
      <c r="L1680">
        <v>3.06</v>
      </c>
      <c r="M1680">
        <v>150</v>
      </c>
      <c r="N1680">
        <v>2.4</v>
      </c>
      <c r="R1680">
        <v>2</v>
      </c>
      <c r="S1680">
        <v>4</v>
      </c>
      <c r="U1680">
        <v>79.5</v>
      </c>
      <c r="V1680">
        <v>6968</v>
      </c>
      <c r="W1680">
        <v>20</v>
      </c>
      <c r="X1680" t="s">
        <v>791</v>
      </c>
    </row>
    <row r="1681" spans="1:24">
      <c r="A1681" t="str">
        <f>Hyperlink("https://www.diodes.com/part/view/DMTH43M7LFG","DMTH43M7LFG")</f>
        <v>DMTH43M7LFG</v>
      </c>
      <c r="B1681" t="str">
        <f>Hyperlink("https://www.diodes.com/assets/Datasheets/DMTH43M7LFG.pdf","DMTH43M7LFG Datasheet")</f>
        <v>DMTH43M7LFG Datasheet</v>
      </c>
      <c r="C1681" t="s">
        <v>997</v>
      </c>
      <c r="D1681" t="s">
        <v>28</v>
      </c>
      <c r="E1681" t="s">
        <v>26</v>
      </c>
      <c r="F1681" t="s">
        <v>27</v>
      </c>
      <c r="G1681" t="s">
        <v>28</v>
      </c>
      <c r="H1681">
        <v>40</v>
      </c>
      <c r="I1681">
        <v>20</v>
      </c>
      <c r="K1681">
        <v>100</v>
      </c>
      <c r="L1681">
        <v>3.5</v>
      </c>
      <c r="M1681">
        <v>65.2</v>
      </c>
      <c r="N1681">
        <v>3</v>
      </c>
      <c r="O1681">
        <v>5</v>
      </c>
      <c r="R1681">
        <v>1</v>
      </c>
      <c r="S1681">
        <v>2.5</v>
      </c>
      <c r="U1681">
        <v>30</v>
      </c>
      <c r="V1681">
        <v>2182</v>
      </c>
      <c r="W1681">
        <v>20</v>
      </c>
      <c r="X1681" t="s">
        <v>529</v>
      </c>
    </row>
    <row r="1682" spans="1:24">
      <c r="A1682" t="str">
        <f>Hyperlink("https://www.diodes.com/part/view/DMTH43M7LFGQ","DMTH43M7LFGQ")</f>
        <v>DMTH43M7LFGQ</v>
      </c>
      <c r="B1682" t="str">
        <f>Hyperlink("https://www.diodes.com/assets/Datasheets/DMTH43M7LFGQ.pdf","DMTH43M7LFGQ Datasheet")</f>
        <v>DMTH43M7LFGQ Datasheet</v>
      </c>
      <c r="C1682" t="s">
        <v>997</v>
      </c>
      <c r="D1682" t="s">
        <v>25</v>
      </c>
      <c r="E1682" t="s">
        <v>33</v>
      </c>
      <c r="F1682" t="s">
        <v>27</v>
      </c>
      <c r="G1682" t="s">
        <v>28</v>
      </c>
      <c r="H1682">
        <v>40</v>
      </c>
      <c r="I1682">
        <v>20</v>
      </c>
      <c r="K1682">
        <v>100</v>
      </c>
      <c r="L1682">
        <v>3.5</v>
      </c>
      <c r="M1682">
        <v>65.2</v>
      </c>
      <c r="N1682">
        <v>3</v>
      </c>
      <c r="O1682">
        <v>5</v>
      </c>
      <c r="R1682">
        <v>1</v>
      </c>
      <c r="S1682">
        <v>2.5</v>
      </c>
      <c r="U1682">
        <v>30</v>
      </c>
      <c r="V1682">
        <v>2182</v>
      </c>
      <c r="W1682">
        <v>20</v>
      </c>
      <c r="X1682" t="s">
        <v>529</v>
      </c>
    </row>
    <row r="1683" spans="1:24">
      <c r="A1683" t="str">
        <f>Hyperlink("https://www.diodes.com/part/view/DMTH43M8LFG","DMTH43M8LFG")</f>
        <v>DMTH43M8LFG</v>
      </c>
      <c r="B1683" t="str">
        <f>Hyperlink("https://www.diodes.com/assets/Datasheets/DMTH43M8LFG.pdf","DMTH43M8LFG Datasheet")</f>
        <v>DMTH43M8LFG Datasheet</v>
      </c>
      <c r="C1683" t="s">
        <v>760</v>
      </c>
      <c r="D1683" t="s">
        <v>25</v>
      </c>
      <c r="E1683" t="s">
        <v>26</v>
      </c>
      <c r="F1683" t="s">
        <v>27</v>
      </c>
      <c r="G1683" t="s">
        <v>28</v>
      </c>
      <c r="H1683">
        <v>40</v>
      </c>
      <c r="I1683">
        <v>20</v>
      </c>
      <c r="J1683">
        <v>24</v>
      </c>
      <c r="K1683">
        <v>100</v>
      </c>
      <c r="L1683">
        <v>2.62</v>
      </c>
      <c r="M1683">
        <v>65.2</v>
      </c>
      <c r="N1683">
        <v>3</v>
      </c>
      <c r="O1683" t="s">
        <v>1003</v>
      </c>
      <c r="S1683">
        <v>2.5</v>
      </c>
      <c r="U1683">
        <v>40.1</v>
      </c>
      <c r="V1683">
        <v>2798</v>
      </c>
      <c r="W1683">
        <v>20</v>
      </c>
      <c r="X1683" t="s">
        <v>529</v>
      </c>
    </row>
    <row r="1684" spans="1:24">
      <c r="A1684" t="str">
        <f>Hyperlink("https://www.diodes.com/part/view/DMTH43M8LFGQ","DMTH43M8LFGQ")</f>
        <v>DMTH43M8LFGQ</v>
      </c>
      <c r="B1684" t="str">
        <f>Hyperlink("https://www.diodes.com/assets/Datasheets/DMTH43M8LFGQ.pdf","DMTH43M8LFGQ Datasheet")</f>
        <v>DMTH43M8LFGQ Datasheet</v>
      </c>
      <c r="C1684" t="s">
        <v>760</v>
      </c>
      <c r="D1684" t="s">
        <v>25</v>
      </c>
      <c r="E1684" t="s">
        <v>33</v>
      </c>
      <c r="F1684" t="s">
        <v>27</v>
      </c>
      <c r="G1684" t="s">
        <v>28</v>
      </c>
      <c r="H1684">
        <v>40</v>
      </c>
      <c r="I1684">
        <v>20</v>
      </c>
      <c r="J1684">
        <v>24</v>
      </c>
      <c r="K1684">
        <v>100</v>
      </c>
      <c r="L1684">
        <v>2.62</v>
      </c>
      <c r="M1684">
        <v>65.2</v>
      </c>
      <c r="N1684">
        <v>3</v>
      </c>
      <c r="O1684" t="s">
        <v>1003</v>
      </c>
      <c r="S1684">
        <v>2.5</v>
      </c>
      <c r="U1684">
        <v>40.1</v>
      </c>
      <c r="V1684">
        <v>2798</v>
      </c>
      <c r="W1684">
        <v>20</v>
      </c>
      <c r="X1684" t="s">
        <v>529</v>
      </c>
    </row>
    <row r="1685" spans="1:24">
      <c r="A1685" t="str">
        <f>Hyperlink("https://www.diodes.com/part/view/DMTH43M8LFVW","DMTH43M8LFVW")</f>
        <v>DMTH43M8LFVW</v>
      </c>
      <c r="B1685" t="str">
        <f>Hyperlink("https://www.diodes.com/assets/Datasheets/DMTH43M8LFVW.pdf","DMTH43M8LFVW Datasheet")</f>
        <v>DMTH43M8LFVW Datasheet</v>
      </c>
      <c r="C1685" t="s">
        <v>997</v>
      </c>
      <c r="D1685" t="s">
        <v>28</v>
      </c>
      <c r="E1685" t="s">
        <v>26</v>
      </c>
      <c r="F1685" t="s">
        <v>27</v>
      </c>
      <c r="G1685" t="s">
        <v>28</v>
      </c>
      <c r="H1685">
        <v>40</v>
      </c>
      <c r="I1685">
        <v>20</v>
      </c>
      <c r="J1685">
        <v>23</v>
      </c>
      <c r="K1685">
        <v>96</v>
      </c>
      <c r="L1685">
        <v>3.6</v>
      </c>
      <c r="M1685">
        <v>65</v>
      </c>
      <c r="N1685">
        <v>4.3</v>
      </c>
      <c r="O1685">
        <v>7.5</v>
      </c>
      <c r="R1685">
        <v>1</v>
      </c>
      <c r="S1685">
        <v>2.5</v>
      </c>
      <c r="T1685">
        <v>16.9</v>
      </c>
      <c r="U1685">
        <v>36.9</v>
      </c>
      <c r="V1685">
        <v>2737</v>
      </c>
      <c r="W1685">
        <v>20</v>
      </c>
      <c r="X1685" t="s">
        <v>655</v>
      </c>
    </row>
    <row r="1686" spans="1:24">
      <c r="A1686" t="str">
        <f>Hyperlink("https://www.diodes.com/part/view/DMTH43M8LFVWQ","DMTH43M8LFVWQ")</f>
        <v>DMTH43M8LFVWQ</v>
      </c>
      <c r="B1686" t="str">
        <f>Hyperlink("https://www.diodes.com/assets/Datasheets/DMTH43M8LFVWQ.pdf","DMTH43M8LFVWQ Datasheet")</f>
        <v>DMTH43M8LFVWQ Datasheet</v>
      </c>
      <c r="C1686" t="s">
        <v>997</v>
      </c>
      <c r="D1686" t="s">
        <v>25</v>
      </c>
      <c r="E1686" t="s">
        <v>33</v>
      </c>
      <c r="F1686" t="s">
        <v>27</v>
      </c>
      <c r="G1686" t="s">
        <v>28</v>
      </c>
      <c r="H1686">
        <v>40</v>
      </c>
      <c r="I1686">
        <v>20</v>
      </c>
      <c r="J1686">
        <v>23</v>
      </c>
      <c r="K1686">
        <v>96</v>
      </c>
      <c r="L1686">
        <v>3.6</v>
      </c>
      <c r="M1686">
        <v>65</v>
      </c>
      <c r="N1686">
        <v>4.3</v>
      </c>
      <c r="O1686">
        <v>7.5</v>
      </c>
      <c r="R1686">
        <v>1</v>
      </c>
      <c r="S1686">
        <v>2.5</v>
      </c>
      <c r="T1686">
        <v>16.9</v>
      </c>
      <c r="U1686">
        <v>36.9</v>
      </c>
      <c r="V1686">
        <v>2737</v>
      </c>
      <c r="W1686">
        <v>20</v>
      </c>
      <c r="X1686" t="s">
        <v>655</v>
      </c>
    </row>
    <row r="1687" spans="1:24">
      <c r="A1687" t="str">
        <f>Hyperlink("https://www.diodes.com/part/view/DMTH43M8LK3","DMTH43M8LK3")</f>
        <v>DMTH43M8LK3</v>
      </c>
      <c r="B1687" t="str">
        <f>Hyperlink("https://www.diodes.com/assets/Datasheets/DMTH43M8LK3.pdf","DMTH43M8LK3 Datasheet")</f>
        <v>DMTH43M8LK3 Datasheet</v>
      </c>
      <c r="C1687" t="s">
        <v>700</v>
      </c>
      <c r="D1687" t="s">
        <v>25</v>
      </c>
      <c r="E1687" t="s">
        <v>26</v>
      </c>
      <c r="F1687" t="s">
        <v>27</v>
      </c>
      <c r="G1687" t="s">
        <v>28</v>
      </c>
      <c r="H1687">
        <v>40</v>
      </c>
      <c r="I1687">
        <v>20</v>
      </c>
      <c r="J1687">
        <v>17.6</v>
      </c>
      <c r="K1687">
        <v>100</v>
      </c>
      <c r="L1687">
        <v>3.1</v>
      </c>
      <c r="M1687">
        <v>88</v>
      </c>
      <c r="N1687">
        <v>3.6</v>
      </c>
      <c r="O1687" t="s">
        <v>1004</v>
      </c>
      <c r="S1687">
        <v>2.5</v>
      </c>
      <c r="T1687">
        <v>17.6</v>
      </c>
      <c r="U1687">
        <v>38.5</v>
      </c>
      <c r="V1687">
        <v>2693</v>
      </c>
      <c r="W1687">
        <v>20</v>
      </c>
      <c r="X1687" t="s">
        <v>507</v>
      </c>
    </row>
    <row r="1688" spans="1:24">
      <c r="A1688" t="str">
        <f>Hyperlink("https://www.diodes.com/part/view/DMTH43M8LK3Q","DMTH43M8LK3Q")</f>
        <v>DMTH43M8LK3Q</v>
      </c>
      <c r="B1688" t="str">
        <f>Hyperlink("https://www.diodes.com/assets/Datasheets/DMTH43M8LK3Q.pdf","DMTH43M8LK3Q Datasheet")</f>
        <v>DMTH43M8LK3Q Datasheet</v>
      </c>
      <c r="C1688" t="s">
        <v>760</v>
      </c>
      <c r="D1688" t="s">
        <v>25</v>
      </c>
      <c r="E1688" t="s">
        <v>33</v>
      </c>
      <c r="F1688" t="s">
        <v>27</v>
      </c>
      <c r="G1688" t="s">
        <v>28</v>
      </c>
      <c r="H1688">
        <v>40</v>
      </c>
      <c r="I1688">
        <v>20</v>
      </c>
      <c r="J1688">
        <v>17.6</v>
      </c>
      <c r="K1688">
        <v>100</v>
      </c>
      <c r="L1688">
        <v>3.1</v>
      </c>
      <c r="M1688">
        <v>88</v>
      </c>
      <c r="N1688">
        <v>3.6</v>
      </c>
      <c r="O1688" t="s">
        <v>1004</v>
      </c>
      <c r="S1688">
        <v>2.5</v>
      </c>
      <c r="T1688">
        <v>17.6</v>
      </c>
      <c r="U1688">
        <v>38.5</v>
      </c>
      <c r="V1688">
        <v>2693</v>
      </c>
      <c r="W1688">
        <v>20</v>
      </c>
      <c r="X1688" t="s">
        <v>507</v>
      </c>
    </row>
    <row r="1689" spans="1:24">
      <c r="A1689" t="str">
        <f>Hyperlink("https://www.diodes.com/part/view/DMTH43M8LPS","DMTH43M8LPS")</f>
        <v>DMTH43M8LPS</v>
      </c>
      <c r="B1689" t="str">
        <f>Hyperlink("https://www.diodes.com/assets/Datasheets/DMTH43M8LPS.pdf","DMTH43M8LPS Datasheet")</f>
        <v>DMTH43M8LPS Datasheet</v>
      </c>
      <c r="C1689" t="s">
        <v>1005</v>
      </c>
      <c r="D1689" t="s">
        <v>25</v>
      </c>
      <c r="E1689" t="s">
        <v>26</v>
      </c>
      <c r="F1689" t="s">
        <v>27</v>
      </c>
      <c r="G1689" t="s">
        <v>28</v>
      </c>
      <c r="H1689">
        <v>40</v>
      </c>
      <c r="I1689">
        <v>20</v>
      </c>
      <c r="J1689">
        <v>22</v>
      </c>
      <c r="K1689">
        <v>100</v>
      </c>
      <c r="L1689">
        <v>2.7</v>
      </c>
      <c r="M1689">
        <v>83</v>
      </c>
      <c r="N1689">
        <v>3.3</v>
      </c>
      <c r="O1689" t="s">
        <v>1003</v>
      </c>
      <c r="S1689">
        <v>2.5</v>
      </c>
      <c r="T1689">
        <v>17.6</v>
      </c>
      <c r="U1689">
        <v>38.5</v>
      </c>
      <c r="V1689">
        <v>2693</v>
      </c>
      <c r="W1689">
        <v>20</v>
      </c>
      <c r="X1689" t="s">
        <v>617</v>
      </c>
    </row>
    <row r="1690" spans="1:24">
      <c r="A1690" t="str">
        <f>Hyperlink("https://www.diodes.com/part/view/DMTH43M8LPSQ","DMTH43M8LPSQ")</f>
        <v>DMTH43M8LPSQ</v>
      </c>
      <c r="B1690" t="str">
        <f>Hyperlink("https://www.diodes.com/assets/Datasheets/DMTH43M8LPSQ.pdf","DMTH43M8LPSQ Datasheet")</f>
        <v>DMTH43M8LPSQ Datasheet</v>
      </c>
      <c r="C1690" t="s">
        <v>1006</v>
      </c>
      <c r="D1690" t="s">
        <v>25</v>
      </c>
      <c r="E1690" t="s">
        <v>33</v>
      </c>
      <c r="F1690" t="s">
        <v>27</v>
      </c>
      <c r="G1690" t="s">
        <v>28</v>
      </c>
      <c r="H1690">
        <v>40</v>
      </c>
      <c r="I1690">
        <v>20</v>
      </c>
      <c r="J1690">
        <v>22</v>
      </c>
      <c r="K1690">
        <v>100</v>
      </c>
      <c r="L1690">
        <v>2.7</v>
      </c>
      <c r="M1690">
        <v>5</v>
      </c>
      <c r="N1690">
        <v>3.3</v>
      </c>
      <c r="O1690" t="s">
        <v>1003</v>
      </c>
      <c r="S1690">
        <v>2.5</v>
      </c>
      <c r="T1690">
        <v>17.6</v>
      </c>
      <c r="U1690">
        <v>38.5</v>
      </c>
      <c r="V1690">
        <v>2693</v>
      </c>
      <c r="W1690">
        <v>20</v>
      </c>
      <c r="X1690" t="s">
        <v>617</v>
      </c>
    </row>
    <row r="1691" spans="1:24">
      <c r="A1691" t="str">
        <f>Hyperlink("https://www.diodes.com/part/view/DMTH43M8LPSWQ","DMTH43M8LPSWQ")</f>
        <v>DMTH43M8LPSWQ</v>
      </c>
      <c r="B1691" t="str">
        <f>Hyperlink("https://www.diodes.com/assets/Datasheets/DMTH43M8LPSWQ.pdf","DMTH43M8LPSWQ Datasheet")</f>
        <v>DMTH43M8LPSWQ Datasheet</v>
      </c>
      <c r="C1691" t="s">
        <v>997</v>
      </c>
      <c r="D1691" t="s">
        <v>25</v>
      </c>
      <c r="E1691" t="s">
        <v>33</v>
      </c>
      <c r="F1691" t="s">
        <v>27</v>
      </c>
      <c r="G1691" t="s">
        <v>28</v>
      </c>
      <c r="H1691">
        <v>40</v>
      </c>
      <c r="I1691">
        <v>20</v>
      </c>
      <c r="K1691">
        <v>100</v>
      </c>
      <c r="L1691">
        <v>2.7</v>
      </c>
      <c r="M1691">
        <v>83</v>
      </c>
      <c r="N1691">
        <v>3.3</v>
      </c>
      <c r="R1691">
        <v>1</v>
      </c>
      <c r="S1691">
        <v>2.5</v>
      </c>
      <c r="T1691">
        <v>17.6</v>
      </c>
      <c r="U1691">
        <v>38.5</v>
      </c>
      <c r="V1691">
        <v>2693</v>
      </c>
      <c r="W1691">
        <v>20</v>
      </c>
      <c r="X1691" t="s">
        <v>757</v>
      </c>
    </row>
    <row r="1692" spans="1:24">
      <c r="A1692" t="str">
        <f>Hyperlink("https://www.diodes.com/part/view/DMTH45M5LFVW","DMTH45M5LFVW")</f>
        <v>DMTH45M5LFVW</v>
      </c>
      <c r="B1692" t="str">
        <f>Hyperlink("https://www.diodes.com/assets/Datasheets/DMTH45M5LFVW.pdf","DMTH45M5LFVW Datasheet")</f>
        <v>DMTH45M5LFVW Datasheet</v>
      </c>
      <c r="C1692" t="s">
        <v>997</v>
      </c>
      <c r="D1692" t="s">
        <v>25</v>
      </c>
      <c r="E1692" t="s">
        <v>26</v>
      </c>
      <c r="F1692" t="s">
        <v>27</v>
      </c>
      <c r="G1692" t="s">
        <v>28</v>
      </c>
      <c r="H1692">
        <v>40</v>
      </c>
      <c r="I1692">
        <v>20</v>
      </c>
      <c r="J1692">
        <v>18</v>
      </c>
      <c r="K1692">
        <v>71</v>
      </c>
      <c r="L1692">
        <v>3.5</v>
      </c>
      <c r="M1692">
        <v>51</v>
      </c>
      <c r="N1692">
        <v>5.5</v>
      </c>
      <c r="O1692">
        <v>7.9</v>
      </c>
      <c r="R1692">
        <v>1.2</v>
      </c>
      <c r="S1692">
        <v>2.3</v>
      </c>
      <c r="T1692">
        <v>3.6</v>
      </c>
      <c r="U1692">
        <v>13.9</v>
      </c>
      <c r="V1692">
        <v>978</v>
      </c>
      <c r="W1692">
        <v>20</v>
      </c>
      <c r="X1692" t="s">
        <v>655</v>
      </c>
    </row>
    <row r="1693" spans="1:24">
      <c r="A1693" t="str">
        <f>Hyperlink("https://www.diodes.com/part/view/DMTH45M5LFVWQ","DMTH45M5LFVWQ")</f>
        <v>DMTH45M5LFVWQ</v>
      </c>
      <c r="B1693" t="str">
        <f>Hyperlink("https://www.diodes.com/assets/Datasheets/DMTH45M5LFVWQ.pdf","DMTH45M5LFVWQ Datasheet")</f>
        <v>DMTH45M5LFVWQ Datasheet</v>
      </c>
      <c r="C1693" t="s">
        <v>997</v>
      </c>
      <c r="D1693" t="s">
        <v>25</v>
      </c>
      <c r="E1693" t="s">
        <v>33</v>
      </c>
      <c r="F1693" t="s">
        <v>27</v>
      </c>
      <c r="G1693" t="s">
        <v>28</v>
      </c>
      <c r="H1693">
        <v>40</v>
      </c>
      <c r="I1693">
        <v>20</v>
      </c>
      <c r="J1693">
        <v>18</v>
      </c>
      <c r="K1693">
        <v>71</v>
      </c>
      <c r="L1693">
        <v>3.5</v>
      </c>
      <c r="M1693">
        <v>51</v>
      </c>
      <c r="N1693">
        <v>5.5</v>
      </c>
      <c r="O1693">
        <v>7.9</v>
      </c>
      <c r="R1693">
        <v>1.2</v>
      </c>
      <c r="S1693">
        <v>2.3</v>
      </c>
      <c r="T1693">
        <v>6.3</v>
      </c>
      <c r="U1693">
        <v>13.9</v>
      </c>
      <c r="V1693">
        <v>978</v>
      </c>
      <c r="W1693">
        <v>20</v>
      </c>
      <c r="X1693" t="s">
        <v>655</v>
      </c>
    </row>
    <row r="1694" spans="1:24">
      <c r="A1694" t="str">
        <f>Hyperlink("https://www.diodes.com/part/view/DMTH45M5LPDW","DMTH45M5LPDW")</f>
        <v>DMTH45M5LPDW</v>
      </c>
      <c r="B1694" t="str">
        <f>Hyperlink("https://www.diodes.com/assets/Datasheets/DMTH45M5LPDW.pdf","DMTH45M5LPDW Datasheet")</f>
        <v>DMTH45M5LPDW Datasheet</v>
      </c>
      <c r="C1694" t="s">
        <v>999</v>
      </c>
      <c r="D1694" t="s">
        <v>28</v>
      </c>
      <c r="E1694" t="s">
        <v>26</v>
      </c>
      <c r="F1694" t="s">
        <v>35</v>
      </c>
      <c r="G1694" t="s">
        <v>28</v>
      </c>
      <c r="H1694">
        <v>40</v>
      </c>
      <c r="I1694">
        <v>20</v>
      </c>
      <c r="K1694">
        <v>79</v>
      </c>
      <c r="L1694">
        <v>3</v>
      </c>
      <c r="M1694">
        <v>60</v>
      </c>
      <c r="N1694">
        <v>5.5</v>
      </c>
      <c r="O1694">
        <v>7.9</v>
      </c>
      <c r="R1694">
        <v>1.2</v>
      </c>
      <c r="S1694">
        <v>2.3</v>
      </c>
      <c r="T1694">
        <v>6.3</v>
      </c>
      <c r="U1694">
        <v>13.9</v>
      </c>
      <c r="V1694">
        <v>978</v>
      </c>
      <c r="W1694">
        <v>20</v>
      </c>
      <c r="X1694" t="s">
        <v>115</v>
      </c>
    </row>
    <row r="1695" spans="1:24">
      <c r="A1695" t="str">
        <f>Hyperlink("https://www.diodes.com/part/view/DMTH45M5LPDWQ","DMTH45M5LPDWQ")</f>
        <v>DMTH45M5LPDWQ</v>
      </c>
      <c r="B1695" t="str">
        <f>Hyperlink("https://www.diodes.com/assets/Datasheets/DMTH45M5LPDWQ.pdf","DMTH45M5LPDWQ Datasheet")</f>
        <v>DMTH45M5LPDWQ Datasheet</v>
      </c>
      <c r="C1695" t="s">
        <v>999</v>
      </c>
      <c r="D1695" t="s">
        <v>25</v>
      </c>
      <c r="E1695" t="s">
        <v>33</v>
      </c>
      <c r="F1695" t="s">
        <v>35</v>
      </c>
      <c r="G1695" t="s">
        <v>28</v>
      </c>
      <c r="H1695">
        <v>40</v>
      </c>
      <c r="I1695">
        <v>20</v>
      </c>
      <c r="K1695">
        <v>79</v>
      </c>
      <c r="L1695">
        <v>3</v>
      </c>
      <c r="M1695">
        <v>60</v>
      </c>
      <c r="N1695">
        <v>5.5</v>
      </c>
      <c r="O1695">
        <v>7.9</v>
      </c>
      <c r="R1695">
        <v>1.2</v>
      </c>
      <c r="S1695">
        <v>2.3</v>
      </c>
      <c r="T1695">
        <v>6.3</v>
      </c>
      <c r="U1695">
        <v>13.9</v>
      </c>
      <c r="V1695">
        <v>978</v>
      </c>
      <c r="W1695">
        <v>20</v>
      </c>
      <c r="X1695" t="s">
        <v>115</v>
      </c>
    </row>
    <row r="1696" spans="1:24">
      <c r="A1696" t="str">
        <f>Hyperlink("https://www.diodes.com/part/view/DMTH45M5LPSW","DMTH45M5LPSW")</f>
        <v>DMTH45M5LPSW</v>
      </c>
      <c r="B1696" t="str">
        <f>Hyperlink("https://www.diodes.com/assets/Datasheets/DMTH45M5LPSW.pdf","DMTH45M5LPSW Datasheet")</f>
        <v>DMTH45M5LPSW Datasheet</v>
      </c>
      <c r="C1696" t="s">
        <v>760</v>
      </c>
      <c r="D1696" t="s">
        <v>28</v>
      </c>
      <c r="E1696" t="s">
        <v>26</v>
      </c>
      <c r="F1696" t="s">
        <v>27</v>
      </c>
      <c r="G1696" t="s">
        <v>28</v>
      </c>
      <c r="H1696">
        <v>40</v>
      </c>
      <c r="I1696">
        <v>20</v>
      </c>
      <c r="K1696">
        <v>86</v>
      </c>
      <c r="L1696">
        <v>3.5</v>
      </c>
      <c r="M1696">
        <v>72</v>
      </c>
      <c r="N1696">
        <v>5.5</v>
      </c>
      <c r="O1696">
        <v>7.9</v>
      </c>
      <c r="R1696">
        <v>1.2</v>
      </c>
      <c r="S1696">
        <v>2.3</v>
      </c>
      <c r="T1696">
        <v>6.3</v>
      </c>
      <c r="U1696">
        <v>13.9</v>
      </c>
      <c r="V1696">
        <v>978</v>
      </c>
      <c r="W1696">
        <v>20</v>
      </c>
      <c r="X1696" t="s">
        <v>757</v>
      </c>
    </row>
    <row r="1697" spans="1:24">
      <c r="A1697" t="str">
        <f>Hyperlink("https://www.diodes.com/part/view/DMTH45M5LPSWQ","DMTH45M5LPSWQ")</f>
        <v>DMTH45M5LPSWQ</v>
      </c>
      <c r="B1697" t="str">
        <f>Hyperlink("https://www.diodes.com/assets/Datasheets/DMTH45M5LPSWQ.pdf","DMTH45M5LPSWQ Datasheet")</f>
        <v>DMTH45M5LPSWQ Datasheet</v>
      </c>
      <c r="C1697" t="s">
        <v>760</v>
      </c>
      <c r="D1697" t="s">
        <v>25</v>
      </c>
      <c r="E1697" t="s">
        <v>33</v>
      </c>
      <c r="F1697" t="s">
        <v>27</v>
      </c>
      <c r="G1697" t="s">
        <v>28</v>
      </c>
      <c r="H1697">
        <v>40</v>
      </c>
      <c r="I1697">
        <v>20</v>
      </c>
      <c r="K1697">
        <v>86</v>
      </c>
      <c r="L1697">
        <v>3.5</v>
      </c>
      <c r="M1697">
        <v>72</v>
      </c>
      <c r="N1697">
        <v>5.5</v>
      </c>
      <c r="O1697">
        <v>7.9</v>
      </c>
      <c r="R1697">
        <v>1.2</v>
      </c>
      <c r="S1697">
        <v>2.3</v>
      </c>
      <c r="T1697">
        <v>6.3</v>
      </c>
      <c r="U1697">
        <v>13.9</v>
      </c>
      <c r="V1697">
        <v>978</v>
      </c>
      <c r="W1697">
        <v>20</v>
      </c>
      <c r="X1697" t="s">
        <v>757</v>
      </c>
    </row>
    <row r="1698" spans="1:24">
      <c r="A1698" t="str">
        <f>Hyperlink("https://www.diodes.com/part/view/DMTH45M5SFVW","DMTH45M5SFVW")</f>
        <v>DMTH45M5SFVW</v>
      </c>
      <c r="B1698" t="str">
        <f>Hyperlink("https://www.diodes.com/assets/Datasheets/DMTH45M5SFVW.pdf","DMTH45M5SFVW Datasheet")</f>
        <v>DMTH45M5SFVW Datasheet</v>
      </c>
      <c r="C1698" t="s">
        <v>997</v>
      </c>
      <c r="D1698" t="s">
        <v>25</v>
      </c>
      <c r="E1698" t="s">
        <v>26</v>
      </c>
      <c r="F1698" t="s">
        <v>27</v>
      </c>
      <c r="G1698" t="s">
        <v>28</v>
      </c>
      <c r="H1698">
        <v>40</v>
      </c>
      <c r="I1698">
        <v>20</v>
      </c>
      <c r="J1698">
        <v>18</v>
      </c>
      <c r="K1698">
        <v>71</v>
      </c>
      <c r="L1698">
        <v>3.5</v>
      </c>
      <c r="M1698">
        <v>51</v>
      </c>
      <c r="N1698">
        <v>5.5</v>
      </c>
      <c r="R1698">
        <v>2</v>
      </c>
      <c r="S1698">
        <v>3.5</v>
      </c>
      <c r="U1698">
        <v>13.2</v>
      </c>
      <c r="V1698">
        <v>1083</v>
      </c>
      <c r="W1698">
        <v>20</v>
      </c>
      <c r="X1698" t="s">
        <v>655</v>
      </c>
    </row>
    <row r="1699" spans="1:24">
      <c r="A1699" t="str">
        <f>Hyperlink("https://www.diodes.com/part/view/DMTH45M5SFVWQ","DMTH45M5SFVWQ")</f>
        <v>DMTH45M5SFVWQ</v>
      </c>
      <c r="B1699" t="str">
        <f>Hyperlink("https://www.diodes.com/assets/Datasheets/DMTH45M5SFVWQ.pdf","DMTH45M5SFVWQ Datasheet")</f>
        <v>DMTH45M5SFVWQ Datasheet</v>
      </c>
      <c r="C1699" t="s">
        <v>997</v>
      </c>
      <c r="D1699" t="s">
        <v>25</v>
      </c>
      <c r="E1699" t="s">
        <v>33</v>
      </c>
      <c r="F1699" t="s">
        <v>27</v>
      </c>
      <c r="G1699" t="s">
        <v>28</v>
      </c>
      <c r="H1699">
        <v>40</v>
      </c>
      <c r="I1699">
        <v>20</v>
      </c>
      <c r="J1699">
        <v>18</v>
      </c>
      <c r="K1699">
        <v>71</v>
      </c>
      <c r="L1699">
        <v>3.5</v>
      </c>
      <c r="M1699">
        <v>51</v>
      </c>
      <c r="N1699">
        <v>5.5</v>
      </c>
      <c r="R1699">
        <v>2</v>
      </c>
      <c r="S1699">
        <v>3.5</v>
      </c>
      <c r="U1699">
        <v>13.2</v>
      </c>
      <c r="V1699">
        <v>1083</v>
      </c>
      <c r="W1699">
        <v>20</v>
      </c>
      <c r="X1699" t="s">
        <v>655</v>
      </c>
    </row>
    <row r="1700" spans="1:24">
      <c r="A1700" t="str">
        <f>Hyperlink("https://www.diodes.com/part/view/DMTH45M5SPDW","DMTH45M5SPDW")</f>
        <v>DMTH45M5SPDW</v>
      </c>
      <c r="B1700" t="str">
        <f>Hyperlink("https://www.diodes.com/assets/Datasheets/DMTH45M5SPDW.pdf","DMTH45M5SPDW Datasheet")</f>
        <v>DMTH45M5SPDW Datasheet</v>
      </c>
      <c r="C1700" t="s">
        <v>999</v>
      </c>
      <c r="D1700" t="s">
        <v>28</v>
      </c>
      <c r="E1700" t="s">
        <v>26</v>
      </c>
      <c r="F1700" t="s">
        <v>35</v>
      </c>
      <c r="G1700" t="s">
        <v>28</v>
      </c>
      <c r="H1700">
        <v>40</v>
      </c>
      <c r="I1700">
        <v>20</v>
      </c>
      <c r="K1700">
        <v>79</v>
      </c>
      <c r="L1700">
        <v>3.3</v>
      </c>
      <c r="M1700">
        <v>60</v>
      </c>
      <c r="N1700">
        <v>5.5</v>
      </c>
      <c r="R1700">
        <v>2</v>
      </c>
      <c r="S1700">
        <v>3.5</v>
      </c>
      <c r="U1700">
        <v>13.2</v>
      </c>
      <c r="V1700">
        <v>1083</v>
      </c>
      <c r="W1700">
        <v>20</v>
      </c>
      <c r="X1700" t="s">
        <v>115</v>
      </c>
    </row>
    <row r="1701" spans="1:24">
      <c r="A1701" t="str">
        <f>Hyperlink("https://www.diodes.com/part/view/DMTH45M5SPDWQ","DMTH45M5SPDWQ")</f>
        <v>DMTH45M5SPDWQ</v>
      </c>
      <c r="B1701" t="str">
        <f>Hyperlink("https://www.diodes.com/assets/Datasheets/DMTH45M5SPDWQ.pdf","DMTH45M5SPDWQ Datasheet")</f>
        <v>DMTH45M5SPDWQ Datasheet</v>
      </c>
      <c r="C1701" t="s">
        <v>999</v>
      </c>
      <c r="D1701" t="s">
        <v>25</v>
      </c>
      <c r="E1701" t="s">
        <v>33</v>
      </c>
      <c r="F1701" t="s">
        <v>35</v>
      </c>
      <c r="G1701" t="s">
        <v>28</v>
      </c>
      <c r="H1701">
        <v>40</v>
      </c>
      <c r="I1701">
        <v>20</v>
      </c>
      <c r="K1701">
        <v>79</v>
      </c>
      <c r="L1701">
        <v>3.3</v>
      </c>
      <c r="M1701">
        <v>60</v>
      </c>
      <c r="N1701">
        <v>5.5</v>
      </c>
      <c r="R1701">
        <v>2</v>
      </c>
      <c r="S1701">
        <v>3.5</v>
      </c>
      <c r="U1701">
        <v>13.2</v>
      </c>
      <c r="V1701">
        <v>1083</v>
      </c>
      <c r="W1701">
        <v>20</v>
      </c>
      <c r="X1701" t="s">
        <v>115</v>
      </c>
    </row>
    <row r="1702" spans="1:24">
      <c r="A1702" t="str">
        <f>Hyperlink("https://www.diodes.com/part/view/DMTH45M5SPSW","DMTH45M5SPSW")</f>
        <v>DMTH45M5SPSW</v>
      </c>
      <c r="B1702" t="str">
        <f>Hyperlink("https://www.diodes.com/assets/Datasheets/DMTH45M5SPSW.pdf","DMTH45M5SPSW Datasheet")</f>
        <v>DMTH45M5SPSW Datasheet</v>
      </c>
      <c r="C1702" t="s">
        <v>760</v>
      </c>
      <c r="D1702" t="s">
        <v>28</v>
      </c>
      <c r="E1702" t="s">
        <v>26</v>
      </c>
      <c r="F1702" t="s">
        <v>27</v>
      </c>
      <c r="G1702" t="s">
        <v>28</v>
      </c>
      <c r="H1702">
        <v>40</v>
      </c>
      <c r="I1702">
        <v>20</v>
      </c>
      <c r="K1702">
        <v>86</v>
      </c>
      <c r="L1702">
        <v>3.5</v>
      </c>
      <c r="M1702">
        <v>72</v>
      </c>
      <c r="N1702">
        <v>5.5</v>
      </c>
      <c r="R1702">
        <v>2</v>
      </c>
      <c r="S1702">
        <v>3.5</v>
      </c>
      <c r="U1702">
        <v>13.2</v>
      </c>
      <c r="V1702">
        <v>1083</v>
      </c>
      <c r="W1702">
        <v>20</v>
      </c>
      <c r="X1702" t="s">
        <v>757</v>
      </c>
    </row>
    <row r="1703" spans="1:24">
      <c r="A1703" t="str">
        <f>Hyperlink("https://www.diodes.com/part/view/DMTH45M5SPSWQ","DMTH45M5SPSWQ")</f>
        <v>DMTH45M5SPSWQ</v>
      </c>
      <c r="B1703" t="str">
        <f>Hyperlink("https://www.diodes.com/assets/Datasheets/DMTH45M5SPSWQ.pdf","DMTH45M5SPSWQ Datasheet")</f>
        <v>DMTH45M5SPSWQ Datasheet</v>
      </c>
      <c r="C1703" t="s">
        <v>760</v>
      </c>
      <c r="D1703" t="s">
        <v>25</v>
      </c>
      <c r="E1703" t="s">
        <v>33</v>
      </c>
      <c r="F1703" t="s">
        <v>27</v>
      </c>
      <c r="G1703" t="s">
        <v>28</v>
      </c>
      <c r="H1703">
        <v>40</v>
      </c>
      <c r="I1703">
        <v>20</v>
      </c>
      <c r="K1703">
        <v>86</v>
      </c>
      <c r="L1703">
        <v>3.5</v>
      </c>
      <c r="M1703">
        <v>72</v>
      </c>
      <c r="N1703">
        <v>5.5</v>
      </c>
      <c r="R1703">
        <v>2</v>
      </c>
      <c r="S1703">
        <v>3.5</v>
      </c>
      <c r="U1703">
        <v>13.2</v>
      </c>
      <c r="V1703">
        <v>1083</v>
      </c>
      <c r="W1703">
        <v>20</v>
      </c>
      <c r="X1703" t="s">
        <v>757</v>
      </c>
    </row>
    <row r="1704" spans="1:24">
      <c r="A1704" t="str">
        <f>Hyperlink("https://www.diodes.com/part/view/DMTH47M2LFVW","DMTH47M2LFVW")</f>
        <v>DMTH47M2LFVW</v>
      </c>
      <c r="B1704" t="str">
        <f>Hyperlink("https://www.diodes.com/assets/Datasheets/DMTH47M2LFVW.pdf","DMTH47M2LFVW Datasheet")</f>
        <v>DMTH47M2LFVW Datasheet</v>
      </c>
      <c r="C1704" t="s">
        <v>760</v>
      </c>
      <c r="D1704" t="s">
        <v>28</v>
      </c>
      <c r="E1704" t="s">
        <v>26</v>
      </c>
      <c r="F1704" t="s">
        <v>27</v>
      </c>
      <c r="G1704" t="s">
        <v>28</v>
      </c>
      <c r="H1704">
        <v>40</v>
      </c>
      <c r="I1704">
        <v>20</v>
      </c>
      <c r="J1704">
        <v>13.6</v>
      </c>
      <c r="K1704">
        <v>49</v>
      </c>
      <c r="L1704">
        <v>2.9</v>
      </c>
      <c r="M1704">
        <v>37.5</v>
      </c>
      <c r="N1704">
        <v>8.9</v>
      </c>
      <c r="O1704">
        <v>13.5</v>
      </c>
      <c r="R1704">
        <v>1.2</v>
      </c>
      <c r="S1704">
        <v>2.3</v>
      </c>
      <c r="T1704">
        <v>5.8</v>
      </c>
      <c r="U1704">
        <v>12.3</v>
      </c>
      <c r="V1704">
        <v>881</v>
      </c>
      <c r="W1704">
        <v>20</v>
      </c>
      <c r="X1704" t="s">
        <v>655</v>
      </c>
    </row>
    <row r="1705" spans="1:24">
      <c r="A1705" t="str">
        <f>Hyperlink("https://www.diodes.com/part/view/DMTH47M2LFVWQ","DMTH47M2LFVWQ")</f>
        <v>DMTH47M2LFVWQ</v>
      </c>
      <c r="B1705" t="str">
        <f>Hyperlink("https://www.diodes.com/assets/Datasheets/DMTH47M2LFVWQ.pdf","DMTH47M2LFVWQ Datasheet")</f>
        <v>DMTH47M2LFVWQ Datasheet</v>
      </c>
      <c r="C1705" t="s">
        <v>760</v>
      </c>
      <c r="D1705" t="s">
        <v>25</v>
      </c>
      <c r="E1705" t="s">
        <v>33</v>
      </c>
      <c r="F1705" t="s">
        <v>27</v>
      </c>
      <c r="G1705" t="s">
        <v>28</v>
      </c>
      <c r="H1705">
        <v>40</v>
      </c>
      <c r="I1705">
        <v>20</v>
      </c>
      <c r="J1705">
        <v>13.6</v>
      </c>
      <c r="K1705">
        <v>49</v>
      </c>
      <c r="L1705">
        <v>2.9</v>
      </c>
      <c r="M1705">
        <v>37.5</v>
      </c>
      <c r="N1705">
        <v>8.9</v>
      </c>
      <c r="O1705">
        <v>13.5</v>
      </c>
      <c r="R1705">
        <v>1.2</v>
      </c>
      <c r="S1705">
        <v>2.3</v>
      </c>
      <c r="T1705">
        <v>5.8</v>
      </c>
      <c r="U1705">
        <v>12.3</v>
      </c>
      <c r="V1705">
        <v>881</v>
      </c>
      <c r="W1705">
        <v>20</v>
      </c>
      <c r="X1705" t="s">
        <v>655</v>
      </c>
    </row>
    <row r="1706" spans="1:24">
      <c r="A1706" t="str">
        <f>Hyperlink("https://www.diodes.com/part/view/DMTH47M2LPSW","DMTH47M2LPSW")</f>
        <v>DMTH47M2LPSW</v>
      </c>
      <c r="B1706" t="str">
        <f>Hyperlink("https://www.diodes.com/assets/Datasheets/DMTH47M2LPSW.pdf","DMTH47M2LPSW Datasheet")</f>
        <v>DMTH47M2LPSW Datasheet</v>
      </c>
      <c r="C1706" t="s">
        <v>760</v>
      </c>
      <c r="D1706" t="s">
        <v>28</v>
      </c>
      <c r="E1706" t="s">
        <v>26</v>
      </c>
      <c r="F1706" t="s">
        <v>27</v>
      </c>
      <c r="G1706" t="s">
        <v>28</v>
      </c>
      <c r="H1706">
        <v>40</v>
      </c>
      <c r="I1706">
        <v>20</v>
      </c>
      <c r="K1706">
        <v>73</v>
      </c>
      <c r="L1706">
        <v>3.8</v>
      </c>
      <c r="M1706">
        <v>73</v>
      </c>
      <c r="N1706">
        <v>7.3</v>
      </c>
      <c r="O1706">
        <v>12</v>
      </c>
      <c r="S1706">
        <v>2.3</v>
      </c>
      <c r="T1706">
        <v>5.9</v>
      </c>
      <c r="U1706">
        <v>12.6</v>
      </c>
      <c r="V1706">
        <v>891</v>
      </c>
      <c r="W1706">
        <v>20</v>
      </c>
      <c r="X1706" t="s">
        <v>617</v>
      </c>
    </row>
    <row r="1707" spans="1:24">
      <c r="A1707" t="str">
        <f>Hyperlink("https://www.diodes.com/part/view/DMTH47M2LPSWQ","DMTH47M2LPSWQ")</f>
        <v>DMTH47M2LPSWQ</v>
      </c>
      <c r="B1707" t="str">
        <f>Hyperlink("https://www.diodes.com/assets/Datasheets/DMTH47M2LPSWQ.pdf","DMTH47M2LPSWQ Datasheet")</f>
        <v>DMTH47M2LPSWQ Datasheet</v>
      </c>
      <c r="C1707" t="s">
        <v>760</v>
      </c>
      <c r="D1707" t="s">
        <v>25</v>
      </c>
      <c r="E1707" t="s">
        <v>33</v>
      </c>
      <c r="F1707" t="s">
        <v>27</v>
      </c>
      <c r="G1707" t="s">
        <v>28</v>
      </c>
      <c r="H1707">
        <v>40</v>
      </c>
      <c r="I1707">
        <v>20</v>
      </c>
      <c r="K1707">
        <v>73</v>
      </c>
      <c r="L1707">
        <v>3.8</v>
      </c>
      <c r="M1707">
        <v>73</v>
      </c>
      <c r="N1707">
        <v>7.3</v>
      </c>
      <c r="O1707">
        <v>12</v>
      </c>
      <c r="S1707">
        <v>2.3</v>
      </c>
      <c r="T1707">
        <v>5.9</v>
      </c>
      <c r="U1707">
        <v>12.6</v>
      </c>
      <c r="V1707">
        <v>891</v>
      </c>
      <c r="W1707">
        <v>20</v>
      </c>
      <c r="X1707" t="s">
        <v>617</v>
      </c>
    </row>
    <row r="1708" spans="1:24">
      <c r="A1708" t="str">
        <f>Hyperlink("https://www.diodes.com/part/view/DMTH47M2SK3","DMTH47M2SK3")</f>
        <v>DMTH47M2SK3</v>
      </c>
      <c r="B1708" t="str">
        <f>Hyperlink("https://www.diodes.com/assets/Datasheets/DMTH47M2SK3.pdf","DMTH47M2SK3 Datasheet")</f>
        <v>DMTH47M2SK3 Datasheet</v>
      </c>
      <c r="C1708" t="s">
        <v>760</v>
      </c>
      <c r="D1708" t="s">
        <v>28</v>
      </c>
      <c r="E1708" t="s">
        <v>26</v>
      </c>
      <c r="F1708" t="s">
        <v>27</v>
      </c>
      <c r="G1708" t="s">
        <v>28</v>
      </c>
      <c r="H1708">
        <v>40</v>
      </c>
      <c r="I1708">
        <v>20</v>
      </c>
      <c r="K1708">
        <v>62</v>
      </c>
      <c r="L1708">
        <v>3.5</v>
      </c>
      <c r="M1708">
        <v>50</v>
      </c>
      <c r="N1708">
        <v>7.5</v>
      </c>
      <c r="R1708">
        <v>2</v>
      </c>
      <c r="S1708">
        <v>4</v>
      </c>
      <c r="U1708">
        <v>12.1</v>
      </c>
      <c r="V1708">
        <v>897</v>
      </c>
      <c r="W1708">
        <v>20</v>
      </c>
      <c r="X1708" t="s">
        <v>507</v>
      </c>
    </row>
    <row r="1709" spans="1:24">
      <c r="A1709" t="str">
        <f>Hyperlink("https://www.diodes.com/part/view/DMTH47M2SPSW","DMTH47M2SPSW")</f>
        <v>DMTH47M2SPSW</v>
      </c>
      <c r="B1709" t="str">
        <f>Hyperlink("https://www.diodes.com/assets/Datasheets/DMTH47M2SPSW.pdf","DMTH47M2SPSW Datasheet")</f>
        <v>DMTH47M2SPSW Datasheet</v>
      </c>
      <c r="C1709" t="s">
        <v>1007</v>
      </c>
      <c r="D1709" t="s">
        <v>25</v>
      </c>
      <c r="E1709" t="s">
        <v>26</v>
      </c>
      <c r="F1709" t="s">
        <v>27</v>
      </c>
      <c r="G1709" t="s">
        <v>28</v>
      </c>
      <c r="H1709">
        <v>40</v>
      </c>
      <c r="I1709">
        <v>20</v>
      </c>
      <c r="K1709">
        <v>73</v>
      </c>
      <c r="L1709">
        <v>3.3</v>
      </c>
      <c r="M1709">
        <v>68</v>
      </c>
      <c r="N1709">
        <v>7.5</v>
      </c>
      <c r="S1709">
        <v>4</v>
      </c>
      <c r="U1709">
        <v>12.1</v>
      </c>
      <c r="V1709">
        <v>897</v>
      </c>
      <c r="W1709">
        <v>20</v>
      </c>
      <c r="X1709" t="s">
        <v>757</v>
      </c>
    </row>
    <row r="1710" spans="1:24">
      <c r="A1710" t="str">
        <f>Hyperlink("https://www.diodes.com/part/view/DMTH47M2SPSWQ","DMTH47M2SPSWQ")</f>
        <v>DMTH47M2SPSWQ</v>
      </c>
      <c r="B1710" t="str">
        <f>Hyperlink("https://www.diodes.com/assets/Datasheets/DMTH47M2SPSWQ.pdf","DMTH47M2SPSWQ Datasheet")</f>
        <v>DMTH47M2SPSWQ Datasheet</v>
      </c>
      <c r="C1710" t="s">
        <v>1007</v>
      </c>
      <c r="D1710" t="s">
        <v>25</v>
      </c>
      <c r="E1710" t="s">
        <v>33</v>
      </c>
      <c r="F1710" t="s">
        <v>27</v>
      </c>
      <c r="G1710" t="s">
        <v>28</v>
      </c>
      <c r="H1710">
        <v>40</v>
      </c>
      <c r="I1710">
        <v>20</v>
      </c>
      <c r="K1710">
        <v>73</v>
      </c>
      <c r="L1710">
        <v>3.3</v>
      </c>
      <c r="M1710">
        <v>68</v>
      </c>
      <c r="N1710">
        <v>7.5</v>
      </c>
      <c r="S1710">
        <v>4</v>
      </c>
      <c r="U1710">
        <v>12.1</v>
      </c>
      <c r="V1710">
        <v>897</v>
      </c>
      <c r="W1710">
        <v>20</v>
      </c>
      <c r="X1710" t="s">
        <v>757</v>
      </c>
    </row>
    <row r="1711" spans="1:24">
      <c r="A1711" t="str">
        <f>Hyperlink("https://www.diodes.com/part/view/DMTH48M3SFVW","DMTH48M3SFVW")</f>
        <v>DMTH48M3SFVW</v>
      </c>
      <c r="B1711" t="str">
        <f>Hyperlink("https://www.diodes.com/assets/Datasheets/DMTH48M3SFVW.pdf","DMTH48M3SFVW Datasheet")</f>
        <v>DMTH48M3SFVW Datasheet</v>
      </c>
      <c r="C1711" t="s">
        <v>700</v>
      </c>
      <c r="D1711" t="s">
        <v>28</v>
      </c>
      <c r="E1711" t="s">
        <v>26</v>
      </c>
      <c r="F1711" t="s">
        <v>27</v>
      </c>
      <c r="G1711" t="s">
        <v>28</v>
      </c>
      <c r="H1711">
        <v>40</v>
      </c>
      <c r="I1711">
        <v>20</v>
      </c>
      <c r="J1711">
        <v>14.6</v>
      </c>
      <c r="K1711">
        <v>52.4</v>
      </c>
      <c r="L1711">
        <v>2.82</v>
      </c>
      <c r="M1711">
        <v>36.6</v>
      </c>
      <c r="N1711">
        <v>8.9</v>
      </c>
      <c r="S1711">
        <v>4</v>
      </c>
      <c r="U1711">
        <v>12.1</v>
      </c>
      <c r="V1711">
        <v>897</v>
      </c>
      <c r="W1711">
        <v>20</v>
      </c>
      <c r="X1711" t="s">
        <v>589</v>
      </c>
    </row>
    <row r="1712" spans="1:24">
      <c r="A1712" t="str">
        <f>Hyperlink("https://www.diodes.com/part/view/DMTH48M3SFVWQ","DMTH48M3SFVWQ")</f>
        <v>DMTH48M3SFVWQ</v>
      </c>
      <c r="B1712" t="str">
        <f>Hyperlink("https://www.diodes.com/assets/Datasheets/DMTH48M3SFVWQ.pdf","DMTH48M3SFVWQ Datasheet")</f>
        <v>DMTH48M3SFVWQ Datasheet</v>
      </c>
      <c r="C1712" t="s">
        <v>760</v>
      </c>
      <c r="D1712" t="s">
        <v>25</v>
      </c>
      <c r="E1712" t="s">
        <v>33</v>
      </c>
      <c r="F1712" t="s">
        <v>27</v>
      </c>
      <c r="G1712" t="s">
        <v>28</v>
      </c>
      <c r="H1712">
        <v>40</v>
      </c>
      <c r="I1712">
        <v>20</v>
      </c>
      <c r="J1712">
        <v>14.6</v>
      </c>
      <c r="K1712">
        <v>52.4</v>
      </c>
      <c r="L1712">
        <v>2.82</v>
      </c>
      <c r="M1712">
        <v>36.6</v>
      </c>
      <c r="N1712">
        <v>8.9</v>
      </c>
      <c r="S1712">
        <v>4</v>
      </c>
      <c r="U1712">
        <v>12.1</v>
      </c>
      <c r="V1712">
        <v>897</v>
      </c>
      <c r="W1712">
        <v>20</v>
      </c>
      <c r="X1712" t="s">
        <v>589</v>
      </c>
    </row>
    <row r="1713" spans="1:24">
      <c r="A1713" t="str">
        <f>Hyperlink("https://www.diodes.com/part/view/DMTH4M70SPGW","DMTH4M70SPGW")</f>
        <v>DMTH4M70SPGW</v>
      </c>
      <c r="B1713" t="str">
        <f>Hyperlink("https://www.diodes.com/assets/Datasheets/DMTH4M70SPGW.pdf","DMTH4M70SPGW Datasheet")</f>
        <v>DMTH4M70SPGW Datasheet</v>
      </c>
      <c r="C1713" t="s">
        <v>1008</v>
      </c>
      <c r="D1713" t="s">
        <v>28</v>
      </c>
      <c r="E1713" t="s">
        <v>26</v>
      </c>
      <c r="F1713" t="s">
        <v>27</v>
      </c>
      <c r="G1713" t="s">
        <v>28</v>
      </c>
      <c r="H1713">
        <v>40</v>
      </c>
      <c r="I1713">
        <v>20</v>
      </c>
      <c r="K1713">
        <v>460</v>
      </c>
      <c r="L1713">
        <v>5.6</v>
      </c>
      <c r="M1713">
        <v>428</v>
      </c>
      <c r="N1713">
        <v>0.7</v>
      </c>
      <c r="R1713">
        <v>2</v>
      </c>
      <c r="S1713">
        <v>4</v>
      </c>
      <c r="U1713">
        <v>117.1</v>
      </c>
      <c r="V1713">
        <v>10053</v>
      </c>
      <c r="W1713">
        <v>20</v>
      </c>
      <c r="X1713" t="s">
        <v>1009</v>
      </c>
    </row>
    <row r="1714" spans="1:24">
      <c r="A1714" t="str">
        <f>Hyperlink("https://www.diodes.com/part/view/DMTH4M70SPGWQ","DMTH4M70SPGWQ")</f>
        <v>DMTH4M70SPGWQ</v>
      </c>
      <c r="B1714" t="str">
        <f>Hyperlink("https://www.diodes.com/assets/Datasheets/DMTH4M70SPGWQ.pdf","DMTH4M70SPGWQ Datasheet")</f>
        <v>DMTH4M70SPGWQ Datasheet</v>
      </c>
      <c r="C1714" t="s">
        <v>1008</v>
      </c>
      <c r="D1714" t="s">
        <v>25</v>
      </c>
      <c r="E1714" t="s">
        <v>33</v>
      </c>
      <c r="F1714" t="s">
        <v>27</v>
      </c>
      <c r="G1714" t="s">
        <v>28</v>
      </c>
      <c r="H1714">
        <v>40</v>
      </c>
      <c r="I1714">
        <v>20</v>
      </c>
      <c r="K1714">
        <v>460</v>
      </c>
      <c r="L1714">
        <v>5.6</v>
      </c>
      <c r="M1714">
        <v>428</v>
      </c>
      <c r="N1714">
        <v>0.7</v>
      </c>
      <c r="R1714">
        <v>2</v>
      </c>
      <c r="S1714">
        <v>4</v>
      </c>
      <c r="U1714">
        <v>117.1</v>
      </c>
      <c r="V1714">
        <v>10053</v>
      </c>
      <c r="W1714">
        <v>20</v>
      </c>
      <c r="X1714" t="s">
        <v>1009</v>
      </c>
    </row>
    <row r="1715" spans="1:24">
      <c r="A1715" t="str">
        <f>Hyperlink("https://www.diodes.com/part/view/DMTH4M90LPSW","DMTH4M90LPSW")</f>
        <v>DMTH4M90LPSW</v>
      </c>
      <c r="B1715" t="str">
        <f>Hyperlink("https://www.diodes.com/assets/Datasheets/DMTH4M90LPSW.pdf","DMTH4M90LPSW Datasheet")</f>
        <v>DMTH4M90LPSW Datasheet</v>
      </c>
      <c r="C1715" t="s">
        <v>997</v>
      </c>
      <c r="D1715" t="s">
        <v>28</v>
      </c>
      <c r="E1715" t="s">
        <v>26</v>
      </c>
      <c r="F1715" t="s">
        <v>27</v>
      </c>
      <c r="G1715" t="s">
        <v>28</v>
      </c>
      <c r="H1715">
        <v>40</v>
      </c>
      <c r="I1715">
        <v>20</v>
      </c>
      <c r="K1715">
        <v>356</v>
      </c>
      <c r="L1715">
        <v>4.2</v>
      </c>
      <c r="M1715">
        <v>200</v>
      </c>
      <c r="N1715">
        <v>0.9</v>
      </c>
      <c r="O1715">
        <v>1.5</v>
      </c>
      <c r="R1715">
        <v>1</v>
      </c>
      <c r="S1715">
        <v>3</v>
      </c>
      <c r="U1715">
        <v>50</v>
      </c>
      <c r="V1715">
        <v>111</v>
      </c>
      <c r="W1715">
        <v>20</v>
      </c>
      <c r="X1715" t="s">
        <v>757</v>
      </c>
    </row>
    <row r="1716" spans="1:24">
      <c r="A1716" t="str">
        <f>Hyperlink("https://www.diodes.com/part/view/DMTH4M90LPSWQ","DMTH4M90LPSWQ")</f>
        <v>DMTH4M90LPSWQ</v>
      </c>
      <c r="B1716" t="str">
        <f>Hyperlink("https://www.diodes.com/assets/Datasheets/DMTH4M90LPSWQ.pdf","DMTH4M90LPSWQ Datasheet")</f>
        <v>DMTH4M90LPSWQ Datasheet</v>
      </c>
      <c r="C1716" t="s">
        <v>997</v>
      </c>
      <c r="D1716" t="s">
        <v>25</v>
      </c>
      <c r="E1716" t="s">
        <v>33</v>
      </c>
      <c r="F1716" t="s">
        <v>27</v>
      </c>
      <c r="G1716" t="s">
        <v>28</v>
      </c>
      <c r="H1716">
        <v>40</v>
      </c>
      <c r="I1716">
        <v>20</v>
      </c>
      <c r="K1716">
        <v>356</v>
      </c>
      <c r="L1716">
        <v>4.2</v>
      </c>
      <c r="M1716">
        <v>200</v>
      </c>
      <c r="N1716">
        <v>0.9</v>
      </c>
      <c r="O1716">
        <v>1.5</v>
      </c>
      <c r="R1716">
        <v>1</v>
      </c>
      <c r="S1716">
        <v>3</v>
      </c>
      <c r="U1716">
        <v>50</v>
      </c>
      <c r="V1716">
        <v>111</v>
      </c>
      <c r="W1716">
        <v>20</v>
      </c>
      <c r="X1716" t="s">
        <v>757</v>
      </c>
    </row>
    <row r="1717" spans="1:24">
      <c r="A1717" t="str">
        <f>Hyperlink("https://www.diodes.com/part/view/DMTH4M90SPSW","DMTH4M90SPSW")</f>
        <v>DMTH4M90SPSW</v>
      </c>
      <c r="B1717" t="str">
        <f>Hyperlink("https://www.diodes.com/assets/Datasheets/DMTH4M90SPSW.pdf","DMTH4M90SPSW Datasheet")</f>
        <v>DMTH4M90SPSW Datasheet</v>
      </c>
      <c r="C1717" t="s">
        <v>997</v>
      </c>
      <c r="D1717" t="s">
        <v>28</v>
      </c>
      <c r="E1717" t="s">
        <v>26</v>
      </c>
      <c r="F1717" t="s">
        <v>27</v>
      </c>
      <c r="G1717" t="s">
        <v>28</v>
      </c>
      <c r="H1717">
        <v>40</v>
      </c>
      <c r="I1717">
        <v>20</v>
      </c>
      <c r="K1717">
        <v>278</v>
      </c>
      <c r="L1717">
        <v>2.6</v>
      </c>
      <c r="M1717">
        <v>125</v>
      </c>
      <c r="N1717">
        <v>0.9</v>
      </c>
      <c r="R1717">
        <v>2</v>
      </c>
      <c r="S1717">
        <v>4</v>
      </c>
      <c r="U1717">
        <v>115</v>
      </c>
      <c r="V1717">
        <v>9434</v>
      </c>
      <c r="W1717">
        <v>20</v>
      </c>
      <c r="X1717" t="s">
        <v>757</v>
      </c>
    </row>
    <row r="1718" spans="1:24">
      <c r="A1718" t="str">
        <f>Hyperlink("https://www.diodes.com/part/view/DMTH4M90SPSWQ","DMTH4M90SPSWQ")</f>
        <v>DMTH4M90SPSWQ</v>
      </c>
      <c r="B1718" t="str">
        <f>Hyperlink("https://www.diodes.com/assets/Datasheets/DMTH4M90SPSWQ.pdf","DMTH4M90SPSWQ Datasheet")</f>
        <v>DMTH4M90SPSWQ Datasheet</v>
      </c>
      <c r="C1718" t="s">
        <v>997</v>
      </c>
      <c r="D1718" t="s">
        <v>25</v>
      </c>
      <c r="E1718" t="s">
        <v>33</v>
      </c>
      <c r="F1718" t="s">
        <v>27</v>
      </c>
      <c r="G1718" t="s">
        <v>28</v>
      </c>
      <c r="H1718">
        <v>40</v>
      </c>
      <c r="I1718">
        <v>20</v>
      </c>
      <c r="K1718">
        <v>278</v>
      </c>
      <c r="L1718">
        <v>2.6</v>
      </c>
      <c r="M1718">
        <v>125</v>
      </c>
      <c r="N1718">
        <v>0.9</v>
      </c>
      <c r="R1718">
        <v>2</v>
      </c>
      <c r="S1718">
        <v>4</v>
      </c>
      <c r="U1718">
        <v>115</v>
      </c>
      <c r="V1718">
        <v>9434</v>
      </c>
      <c r="W1718">
        <v>20</v>
      </c>
      <c r="X1718" t="s">
        <v>757</v>
      </c>
    </row>
    <row r="1719" spans="1:24">
      <c r="A1719" t="str">
        <f>Hyperlink("https://www.diodes.com/part/view/DMTH6002LPS","DMTH6002LPS")</f>
        <v>DMTH6002LPS</v>
      </c>
      <c r="B1719" t="str">
        <f>Hyperlink("https://www.diodes.com/assets/Datasheets/DMTH6002LPS.pdf","DMTH6002LPS Datasheet")</f>
        <v>DMTH6002LPS Datasheet</v>
      </c>
      <c r="C1719" t="s">
        <v>766</v>
      </c>
      <c r="D1719" t="s">
        <v>25</v>
      </c>
      <c r="E1719" t="s">
        <v>26</v>
      </c>
      <c r="F1719" t="s">
        <v>27</v>
      </c>
      <c r="G1719" t="s">
        <v>28</v>
      </c>
      <c r="H1719">
        <v>60</v>
      </c>
      <c r="I1719">
        <v>20</v>
      </c>
      <c r="K1719">
        <v>100</v>
      </c>
      <c r="L1719">
        <v>2.3</v>
      </c>
      <c r="M1719">
        <v>167</v>
      </c>
      <c r="N1719">
        <v>2</v>
      </c>
      <c r="O1719">
        <v>3.3</v>
      </c>
      <c r="S1719">
        <v>3</v>
      </c>
      <c r="T1719">
        <v>63.6</v>
      </c>
      <c r="U1719">
        <v>130.8</v>
      </c>
      <c r="V1719">
        <v>6555</v>
      </c>
      <c r="W1719">
        <v>30</v>
      </c>
      <c r="X1719" t="s">
        <v>617</v>
      </c>
    </row>
    <row r="1720" spans="1:24">
      <c r="A1720" t="str">
        <f>Hyperlink("https://www.diodes.com/part/view/DMTH6002LPSW","DMTH6002LPSW")</f>
        <v>DMTH6002LPSW</v>
      </c>
      <c r="B1720" t="str">
        <f>Hyperlink("https://www.diodes.com/assets/Datasheets/DMTH6002LPSW.pdf","DMTH6002LPSW Datasheet")</f>
        <v>DMTH6002LPSW Datasheet</v>
      </c>
      <c r="C1720" t="s">
        <v>765</v>
      </c>
      <c r="D1720" t="s">
        <v>28</v>
      </c>
      <c r="E1720" t="s">
        <v>26</v>
      </c>
      <c r="F1720" t="s">
        <v>27</v>
      </c>
      <c r="G1720" t="s">
        <v>28</v>
      </c>
      <c r="H1720">
        <v>60</v>
      </c>
      <c r="I1720">
        <v>20</v>
      </c>
      <c r="K1720">
        <v>190</v>
      </c>
      <c r="L1720">
        <v>3.13</v>
      </c>
      <c r="M1720">
        <v>190</v>
      </c>
      <c r="N1720">
        <v>2</v>
      </c>
      <c r="O1720">
        <v>3.3</v>
      </c>
      <c r="S1720">
        <v>3</v>
      </c>
      <c r="T1720">
        <v>68</v>
      </c>
      <c r="U1720">
        <v>131</v>
      </c>
      <c r="V1720">
        <v>8289</v>
      </c>
      <c r="W1720">
        <v>30</v>
      </c>
      <c r="X1720" t="s">
        <v>617</v>
      </c>
    </row>
    <row r="1721" spans="1:24">
      <c r="A1721" t="str">
        <f>Hyperlink("https://www.diodes.com/part/view/DMTH6002LPSWQ","DMTH6002LPSWQ")</f>
        <v>DMTH6002LPSWQ</v>
      </c>
      <c r="B1721" t="str">
        <f>Hyperlink("https://www.diodes.com/assets/Datasheets/DMTH6002LPSWQ.pdf","DMTH6002LPSWQ Datasheet")</f>
        <v>DMTH6002LPSWQ Datasheet</v>
      </c>
      <c r="C1721" t="s">
        <v>765</v>
      </c>
      <c r="D1721" t="s">
        <v>25</v>
      </c>
      <c r="E1721" t="s">
        <v>33</v>
      </c>
      <c r="F1721" t="s">
        <v>27</v>
      </c>
      <c r="G1721" t="s">
        <v>28</v>
      </c>
      <c r="H1721">
        <v>60</v>
      </c>
      <c r="I1721">
        <v>20</v>
      </c>
      <c r="K1721">
        <v>190</v>
      </c>
      <c r="L1721">
        <v>3.13</v>
      </c>
      <c r="M1721">
        <v>190</v>
      </c>
      <c r="N1721">
        <v>2</v>
      </c>
      <c r="O1721">
        <v>3.3</v>
      </c>
      <c r="S1721">
        <v>3</v>
      </c>
      <c r="T1721">
        <v>68</v>
      </c>
      <c r="U1721">
        <v>131</v>
      </c>
      <c r="V1721">
        <v>8289</v>
      </c>
      <c r="W1721">
        <v>30</v>
      </c>
      <c r="X1721" t="s">
        <v>617</v>
      </c>
    </row>
    <row r="1722" spans="1:24">
      <c r="A1722" t="str">
        <f>Hyperlink("https://www.diodes.com/part/view/DMTH6004LPS","DMTH6004LPS")</f>
        <v>DMTH6004LPS</v>
      </c>
      <c r="B1722" t="str">
        <f>Hyperlink("https://www.diodes.com/assets/Datasheets/DMTH6004LPS.pdf","DMTH6004LPS Datasheet")</f>
        <v>DMTH6004LPS Datasheet</v>
      </c>
      <c r="C1722" t="s">
        <v>766</v>
      </c>
      <c r="D1722" t="s">
        <v>25</v>
      </c>
      <c r="E1722" t="s">
        <v>26</v>
      </c>
      <c r="F1722" t="s">
        <v>27</v>
      </c>
      <c r="G1722" t="s">
        <v>28</v>
      </c>
      <c r="H1722">
        <v>60</v>
      </c>
      <c r="I1722">
        <v>20</v>
      </c>
      <c r="J1722">
        <v>22</v>
      </c>
      <c r="K1722">
        <v>100</v>
      </c>
      <c r="L1722">
        <v>2.6</v>
      </c>
      <c r="M1722">
        <v>138</v>
      </c>
      <c r="N1722">
        <v>3.1</v>
      </c>
      <c r="O1722">
        <v>4.5</v>
      </c>
      <c r="S1722">
        <v>3</v>
      </c>
      <c r="T1722">
        <v>38.5</v>
      </c>
      <c r="U1722">
        <v>78.3</v>
      </c>
      <c r="V1722">
        <v>5399</v>
      </c>
      <c r="W1722">
        <v>30</v>
      </c>
      <c r="X1722" t="s">
        <v>617</v>
      </c>
    </row>
    <row r="1723" spans="1:24">
      <c r="A1723" t="str">
        <f>Hyperlink("https://www.diodes.com/part/view/DMTH6004LPSQ","DMTH6004LPSQ")</f>
        <v>DMTH6004LPSQ</v>
      </c>
      <c r="B1723" t="str">
        <f>Hyperlink("https://www.diodes.com/assets/Datasheets/DMTH6004LPSQ.pdf","DMTH6004LPSQ Datasheet")</f>
        <v>DMTH6004LPSQ Datasheet</v>
      </c>
      <c r="C1723" t="s">
        <v>766</v>
      </c>
      <c r="D1723" t="s">
        <v>25</v>
      </c>
      <c r="E1723" t="s">
        <v>33</v>
      </c>
      <c r="F1723" t="s">
        <v>27</v>
      </c>
      <c r="G1723" t="s">
        <v>28</v>
      </c>
      <c r="H1723">
        <v>60</v>
      </c>
      <c r="I1723">
        <v>20</v>
      </c>
      <c r="J1723">
        <v>22</v>
      </c>
      <c r="K1723">
        <v>100</v>
      </c>
      <c r="L1723">
        <v>2.6</v>
      </c>
      <c r="M1723">
        <v>138</v>
      </c>
      <c r="N1723">
        <v>3.1</v>
      </c>
      <c r="O1723">
        <v>4.5</v>
      </c>
      <c r="S1723">
        <v>3</v>
      </c>
      <c r="T1723">
        <v>47.4</v>
      </c>
      <c r="U1723">
        <v>96.3</v>
      </c>
      <c r="V1723">
        <v>4515</v>
      </c>
      <c r="W1723">
        <v>30</v>
      </c>
      <c r="X1723" t="s">
        <v>617</v>
      </c>
    </row>
    <row r="1724" spans="1:24">
      <c r="A1724" t="str">
        <f>Hyperlink("https://www.diodes.com/part/view/DMTH6004LPSWQ","DMTH6004LPSWQ")</f>
        <v>DMTH6004LPSWQ</v>
      </c>
      <c r="B1724" t="str">
        <f>Hyperlink("https://www.diodes.com/assets/Datasheets/DMTH6004LPSWQ.pdf","DMTH6004LPSWQ Datasheet")</f>
        <v>DMTH6004LPSWQ Datasheet</v>
      </c>
      <c r="C1724" t="s">
        <v>767</v>
      </c>
      <c r="D1724" t="s">
        <v>25</v>
      </c>
      <c r="E1724" t="s">
        <v>33</v>
      </c>
      <c r="F1724" t="s">
        <v>27</v>
      </c>
      <c r="G1724" t="s">
        <v>28</v>
      </c>
      <c r="H1724">
        <v>60</v>
      </c>
      <c r="I1724">
        <v>20</v>
      </c>
      <c r="K1724">
        <v>100</v>
      </c>
      <c r="L1724">
        <v>2.6</v>
      </c>
      <c r="M1724">
        <v>138</v>
      </c>
      <c r="N1724">
        <v>3.1</v>
      </c>
      <c r="R1724">
        <v>1</v>
      </c>
      <c r="S1724">
        <v>3</v>
      </c>
      <c r="U1724">
        <v>78.3</v>
      </c>
      <c r="V1724">
        <v>5399</v>
      </c>
      <c r="W1724">
        <v>30</v>
      </c>
      <c r="X1724" t="s">
        <v>757</v>
      </c>
    </row>
    <row r="1725" spans="1:24">
      <c r="A1725" t="str">
        <f>Hyperlink("https://www.diodes.com/part/view/DMTH6004SCT","DMTH6004SCT")</f>
        <v>DMTH6004SCT</v>
      </c>
      <c r="B1725" t="str">
        <f>Hyperlink("https://www.diodes.com/assets/Datasheets/DMTH6004SCT.pdf","DMTH6004SCT Datasheet")</f>
        <v>DMTH6004SCT Datasheet</v>
      </c>
      <c r="C1725" t="s">
        <v>766</v>
      </c>
      <c r="D1725" t="s">
        <v>25</v>
      </c>
      <c r="E1725" t="s">
        <v>26</v>
      </c>
      <c r="F1725" t="s">
        <v>27</v>
      </c>
      <c r="G1725" t="s">
        <v>28</v>
      </c>
      <c r="H1725">
        <v>60</v>
      </c>
      <c r="I1725">
        <v>20</v>
      </c>
      <c r="K1725">
        <v>100</v>
      </c>
      <c r="L1725">
        <v>2.8</v>
      </c>
      <c r="M1725">
        <v>136</v>
      </c>
      <c r="N1725">
        <v>3.65</v>
      </c>
      <c r="S1725">
        <v>4</v>
      </c>
      <c r="U1725">
        <v>95.4</v>
      </c>
      <c r="V1725">
        <v>4556</v>
      </c>
      <c r="W1725">
        <v>30</v>
      </c>
      <c r="X1725" t="s">
        <v>753</v>
      </c>
    </row>
    <row r="1726" spans="1:24">
      <c r="A1726" t="str">
        <f>Hyperlink("https://www.diodes.com/part/view/DMTH6004SCTB","DMTH6004SCTB")</f>
        <v>DMTH6004SCTB</v>
      </c>
      <c r="B1726" t="str">
        <f>Hyperlink("https://www.diodes.com/assets/Datasheets/DMTH6004SCTB.pdf","DMTH6004SCTB Datasheet")</f>
        <v>DMTH6004SCTB Datasheet</v>
      </c>
      <c r="C1726" t="s">
        <v>766</v>
      </c>
      <c r="D1726" t="s">
        <v>25</v>
      </c>
      <c r="E1726" t="s">
        <v>26</v>
      </c>
      <c r="F1726" t="s">
        <v>27</v>
      </c>
      <c r="G1726" t="s">
        <v>28</v>
      </c>
      <c r="H1726">
        <v>60</v>
      </c>
      <c r="I1726">
        <v>20</v>
      </c>
      <c r="K1726">
        <v>100</v>
      </c>
      <c r="L1726">
        <v>4.7</v>
      </c>
      <c r="M1726">
        <v>136</v>
      </c>
      <c r="N1726">
        <v>3.4</v>
      </c>
      <c r="S1726">
        <v>4</v>
      </c>
      <c r="U1726">
        <v>95.4</v>
      </c>
      <c r="V1726">
        <v>4556</v>
      </c>
      <c r="W1726">
        <v>30</v>
      </c>
      <c r="X1726" t="s">
        <v>722</v>
      </c>
    </row>
    <row r="1727" spans="1:24">
      <c r="A1727" t="str">
        <f>Hyperlink("https://www.diodes.com/part/view/DMTH6004SCTBQ","DMTH6004SCTBQ")</f>
        <v>DMTH6004SCTBQ</v>
      </c>
      <c r="B1727" t="str">
        <f>Hyperlink("https://www.diodes.com/assets/Datasheets/DMTH6004SCTBQ.pdf","DMTH6004SCTBQ Datasheet")</f>
        <v>DMTH6004SCTBQ Datasheet</v>
      </c>
      <c r="C1727" t="s">
        <v>766</v>
      </c>
      <c r="D1727" t="s">
        <v>25</v>
      </c>
      <c r="E1727" t="s">
        <v>33</v>
      </c>
      <c r="F1727" t="s">
        <v>27</v>
      </c>
      <c r="G1727" t="s">
        <v>28</v>
      </c>
      <c r="H1727">
        <v>60</v>
      </c>
      <c r="I1727">
        <v>20</v>
      </c>
      <c r="K1727">
        <v>100</v>
      </c>
      <c r="L1727">
        <v>4.7</v>
      </c>
      <c r="M1727">
        <v>136</v>
      </c>
      <c r="N1727">
        <v>3.4</v>
      </c>
      <c r="S1727">
        <v>4</v>
      </c>
      <c r="U1727">
        <v>95.4</v>
      </c>
      <c r="V1727">
        <v>4556</v>
      </c>
      <c r="W1727">
        <v>30</v>
      </c>
      <c r="X1727" t="s">
        <v>722</v>
      </c>
    </row>
    <row r="1728" spans="1:24">
      <c r="A1728" t="str">
        <f>Hyperlink("https://www.diodes.com/part/view/DMTH6004SK3","DMTH6004SK3")</f>
        <v>DMTH6004SK3</v>
      </c>
      <c r="B1728" t="str">
        <f>Hyperlink("https://www.diodes.com/assets/Datasheets/DMTH6004SK3.pdf","DMTH6004SK3 Datasheet")</f>
        <v>DMTH6004SK3 Datasheet</v>
      </c>
      <c r="C1728" t="s">
        <v>766</v>
      </c>
      <c r="D1728" t="s">
        <v>25</v>
      </c>
      <c r="E1728" t="s">
        <v>26</v>
      </c>
      <c r="F1728" t="s">
        <v>27</v>
      </c>
      <c r="G1728" t="s">
        <v>28</v>
      </c>
      <c r="H1728">
        <v>60</v>
      </c>
      <c r="I1728">
        <v>20</v>
      </c>
      <c r="K1728">
        <v>100</v>
      </c>
      <c r="L1728">
        <v>3.9</v>
      </c>
      <c r="M1728">
        <v>180</v>
      </c>
      <c r="N1728">
        <v>3.8</v>
      </c>
      <c r="S1728">
        <v>4</v>
      </c>
      <c r="U1728">
        <v>95.4</v>
      </c>
      <c r="V1728">
        <v>4556</v>
      </c>
      <c r="W1728">
        <v>30</v>
      </c>
      <c r="X1728" t="s">
        <v>507</v>
      </c>
    </row>
    <row r="1729" spans="1:24">
      <c r="A1729" t="str">
        <f>Hyperlink("https://www.diodes.com/part/view/DMTH6004SK3Q","DMTH6004SK3Q")</f>
        <v>DMTH6004SK3Q</v>
      </c>
      <c r="B1729" t="str">
        <f>Hyperlink("https://www.diodes.com/assets/Datasheets/DMTH6004SK3Q.pdf","DMTH6004SK3Q Datasheet")</f>
        <v>DMTH6004SK3Q Datasheet</v>
      </c>
      <c r="C1729" t="s">
        <v>766</v>
      </c>
      <c r="D1729" t="s">
        <v>25</v>
      </c>
      <c r="E1729" t="s">
        <v>33</v>
      </c>
      <c r="F1729" t="s">
        <v>27</v>
      </c>
      <c r="G1729" t="s">
        <v>28</v>
      </c>
      <c r="H1729">
        <v>60</v>
      </c>
      <c r="I1729">
        <v>20</v>
      </c>
      <c r="K1729">
        <v>100</v>
      </c>
      <c r="L1729">
        <v>3.9</v>
      </c>
      <c r="M1729">
        <v>180</v>
      </c>
      <c r="N1729">
        <v>3.8</v>
      </c>
      <c r="S1729">
        <v>4</v>
      </c>
      <c r="U1729">
        <v>95.4</v>
      </c>
      <c r="V1729">
        <v>4556</v>
      </c>
      <c r="W1729">
        <v>30</v>
      </c>
      <c r="X1729" t="s">
        <v>507</v>
      </c>
    </row>
    <row r="1730" spans="1:24">
      <c r="A1730" t="str">
        <f>Hyperlink("https://www.diodes.com/part/view/DMTH6004SPS","DMTH6004SPS")</f>
        <v>DMTH6004SPS</v>
      </c>
      <c r="B1730" t="str">
        <f>Hyperlink("https://www.diodes.com/assets/Datasheets/DMTH6004SPS.pdf","DMTH6004SPS Datasheet")</f>
        <v>DMTH6004SPS Datasheet</v>
      </c>
      <c r="C1730" t="s">
        <v>765</v>
      </c>
      <c r="D1730" t="s">
        <v>25</v>
      </c>
      <c r="E1730" t="s">
        <v>26</v>
      </c>
      <c r="F1730" t="s">
        <v>27</v>
      </c>
      <c r="G1730" t="s">
        <v>28</v>
      </c>
      <c r="H1730">
        <v>60</v>
      </c>
      <c r="I1730">
        <v>20</v>
      </c>
      <c r="J1730">
        <v>25</v>
      </c>
      <c r="K1730">
        <v>100</v>
      </c>
      <c r="L1730">
        <v>2.1</v>
      </c>
      <c r="M1730">
        <v>167</v>
      </c>
      <c r="N1730">
        <v>3.1</v>
      </c>
      <c r="S1730">
        <v>4</v>
      </c>
      <c r="U1730">
        <v>95.4</v>
      </c>
      <c r="V1730">
        <v>4556</v>
      </c>
      <c r="W1730">
        <v>30</v>
      </c>
      <c r="X1730" t="s">
        <v>617</v>
      </c>
    </row>
    <row r="1731" spans="1:24">
      <c r="A1731" t="str">
        <f>Hyperlink("https://www.diodes.com/part/view/DMTH6004SPSQ","DMTH6004SPSQ")</f>
        <v>DMTH6004SPSQ</v>
      </c>
      <c r="B1731" t="str">
        <f>Hyperlink("https://www.diodes.com/assets/Datasheets/DMTH6004SPSQ.pdf","DMTH6004SPSQ Datasheet")</f>
        <v>DMTH6004SPSQ Datasheet</v>
      </c>
      <c r="C1731" t="s">
        <v>765</v>
      </c>
      <c r="D1731" t="s">
        <v>25</v>
      </c>
      <c r="E1731" t="s">
        <v>33</v>
      </c>
      <c r="F1731" t="s">
        <v>27</v>
      </c>
      <c r="G1731" t="s">
        <v>28</v>
      </c>
      <c r="H1731">
        <v>60</v>
      </c>
      <c r="I1731">
        <v>20</v>
      </c>
      <c r="J1731">
        <v>25</v>
      </c>
      <c r="K1731">
        <v>100</v>
      </c>
      <c r="L1731">
        <v>3.2</v>
      </c>
      <c r="M1731">
        <v>167</v>
      </c>
      <c r="N1731">
        <v>3.1</v>
      </c>
      <c r="S1731">
        <v>4</v>
      </c>
      <c r="U1731">
        <v>95.4</v>
      </c>
      <c r="V1731">
        <v>4556</v>
      </c>
      <c r="W1731">
        <v>30</v>
      </c>
      <c r="X1731" t="s">
        <v>617</v>
      </c>
    </row>
    <row r="1732" spans="1:24">
      <c r="A1732" t="str">
        <f>Hyperlink("https://www.diodes.com/part/view/DMTH6004SPSWQ","DMTH6004SPSWQ")</f>
        <v>DMTH6004SPSWQ</v>
      </c>
      <c r="B1732" t="str">
        <f>Hyperlink("https://www.diodes.com/assets/Datasheets/DMTH6004SPSWQ.pdf","DMTH6004SPSWQ Datasheet")</f>
        <v>DMTH6004SPSWQ Datasheet</v>
      </c>
      <c r="C1732" t="s">
        <v>767</v>
      </c>
      <c r="D1732" t="s">
        <v>25</v>
      </c>
      <c r="E1732" t="s">
        <v>33</v>
      </c>
      <c r="F1732" t="s">
        <v>27</v>
      </c>
      <c r="G1732" t="s">
        <v>28</v>
      </c>
      <c r="H1732">
        <v>60</v>
      </c>
      <c r="I1732">
        <v>20</v>
      </c>
      <c r="K1732">
        <v>100</v>
      </c>
      <c r="L1732">
        <v>3.2</v>
      </c>
      <c r="M1732">
        <v>167</v>
      </c>
      <c r="N1732">
        <v>3.1</v>
      </c>
      <c r="R1732">
        <v>2</v>
      </c>
      <c r="S1732">
        <v>4</v>
      </c>
      <c r="U1732">
        <v>95.4</v>
      </c>
      <c r="V1732">
        <v>4556</v>
      </c>
      <c r="W1732">
        <v>30</v>
      </c>
      <c r="X1732" t="s">
        <v>757</v>
      </c>
    </row>
    <row r="1733" spans="1:24">
      <c r="A1733" t="str">
        <f>Hyperlink("https://www.diodes.com/part/view/DMTH6005LCT","DMTH6005LCT")</f>
        <v>DMTH6005LCT</v>
      </c>
      <c r="B1733" t="str">
        <f>Hyperlink("https://www.diodes.com/assets/Datasheets/DMTH6005LCT.pdf","DMTH6005LCT Datasheet")</f>
        <v>DMTH6005LCT Datasheet</v>
      </c>
      <c r="C1733" t="s">
        <v>766</v>
      </c>
      <c r="D1733" t="s">
        <v>25</v>
      </c>
      <c r="E1733" t="s">
        <v>26</v>
      </c>
      <c r="F1733" t="s">
        <v>27</v>
      </c>
      <c r="G1733" t="s">
        <v>28</v>
      </c>
      <c r="H1733">
        <v>60</v>
      </c>
      <c r="I1733">
        <v>20</v>
      </c>
      <c r="K1733">
        <v>100</v>
      </c>
      <c r="L1733">
        <v>2.8</v>
      </c>
      <c r="M1733">
        <v>125</v>
      </c>
      <c r="N1733">
        <v>6</v>
      </c>
      <c r="O1733">
        <v>10</v>
      </c>
      <c r="S1733">
        <v>3</v>
      </c>
      <c r="T1733">
        <v>23.1</v>
      </c>
      <c r="U1733">
        <v>47.1</v>
      </c>
      <c r="V1733">
        <v>2962</v>
      </c>
      <c r="W1733">
        <v>30</v>
      </c>
      <c r="X1733" t="s">
        <v>962</v>
      </c>
    </row>
    <row r="1734" spans="1:24">
      <c r="A1734" t="str">
        <f>Hyperlink("https://www.diodes.com/part/view/DMTH6005LFG","DMTH6005LFG")</f>
        <v>DMTH6005LFG</v>
      </c>
      <c r="B1734" t="str">
        <f>Hyperlink("https://www.diodes.com/assets/Datasheets/DMTH6005LFG.pdf","DMTH6005LFG Datasheet")</f>
        <v>DMTH6005LFG Datasheet</v>
      </c>
      <c r="C1734" t="s">
        <v>765</v>
      </c>
      <c r="D1734" t="s">
        <v>25</v>
      </c>
      <c r="E1734" t="s">
        <v>26</v>
      </c>
      <c r="F1734" t="s">
        <v>27</v>
      </c>
      <c r="G1734" t="s">
        <v>28</v>
      </c>
      <c r="H1734">
        <v>60</v>
      </c>
      <c r="I1734">
        <v>20</v>
      </c>
      <c r="J1734">
        <v>19.7</v>
      </c>
      <c r="K1734">
        <v>100</v>
      </c>
      <c r="L1734">
        <v>2.38</v>
      </c>
      <c r="M1734">
        <v>75</v>
      </c>
      <c r="N1734">
        <v>4.1</v>
      </c>
      <c r="O1734">
        <v>7</v>
      </c>
      <c r="S1734">
        <v>2.5</v>
      </c>
      <c r="T1734">
        <v>23.6</v>
      </c>
      <c r="U1734">
        <v>48.7</v>
      </c>
      <c r="V1734">
        <v>3150</v>
      </c>
      <c r="W1734">
        <v>30</v>
      </c>
      <c r="X1734" t="s">
        <v>529</v>
      </c>
    </row>
    <row r="1735" spans="1:24">
      <c r="A1735" t="str">
        <f>Hyperlink("https://www.diodes.com/part/view/DMTH6005LFGQ","DMTH6005LFGQ")</f>
        <v>DMTH6005LFGQ</v>
      </c>
      <c r="B1735" t="str">
        <f>Hyperlink("https://www.diodes.com/assets/Datasheets/DMTH6005LFGQ.pdf","DMTH6005LFGQ Datasheet")</f>
        <v>DMTH6005LFGQ Datasheet</v>
      </c>
      <c r="C1735" t="s">
        <v>767</v>
      </c>
      <c r="D1735" t="s">
        <v>25</v>
      </c>
      <c r="E1735" t="s">
        <v>33</v>
      </c>
      <c r="F1735" t="s">
        <v>27</v>
      </c>
      <c r="G1735" t="s">
        <v>28</v>
      </c>
      <c r="H1735">
        <v>60</v>
      </c>
      <c r="I1735">
        <v>20</v>
      </c>
      <c r="J1735">
        <v>17</v>
      </c>
      <c r="K1735">
        <v>98</v>
      </c>
      <c r="L1735">
        <v>2.38</v>
      </c>
      <c r="M1735">
        <v>75</v>
      </c>
      <c r="N1735">
        <v>4.1</v>
      </c>
      <c r="O1735">
        <v>6.3</v>
      </c>
      <c r="R1735">
        <v>1</v>
      </c>
      <c r="S1735">
        <v>2.5</v>
      </c>
      <c r="T1735">
        <v>21.3</v>
      </c>
      <c r="U1735">
        <v>47.5</v>
      </c>
      <c r="V1735">
        <v>3223</v>
      </c>
      <c r="W1735">
        <v>30</v>
      </c>
      <c r="X1735" t="s">
        <v>529</v>
      </c>
    </row>
    <row r="1736" spans="1:24">
      <c r="A1736" t="str">
        <f>Hyperlink("https://www.diodes.com/part/view/DMTH6005LK3","DMTH6005LK3")</f>
        <v>DMTH6005LK3</v>
      </c>
      <c r="B1736" t="str">
        <f>Hyperlink("https://www.diodes.com/assets/Datasheets/DMTH6005LK3.pdf","DMTH6005LK3 Datasheet")</f>
        <v>DMTH6005LK3 Datasheet</v>
      </c>
      <c r="C1736" t="s">
        <v>766</v>
      </c>
      <c r="D1736" t="s">
        <v>25</v>
      </c>
      <c r="E1736" t="s">
        <v>26</v>
      </c>
      <c r="F1736" t="s">
        <v>27</v>
      </c>
      <c r="G1736" t="s">
        <v>28</v>
      </c>
      <c r="H1736">
        <v>60</v>
      </c>
      <c r="I1736">
        <v>20</v>
      </c>
      <c r="K1736">
        <v>90</v>
      </c>
      <c r="L1736">
        <v>3.9</v>
      </c>
      <c r="M1736">
        <v>100</v>
      </c>
      <c r="N1736">
        <v>5.6</v>
      </c>
      <c r="O1736">
        <v>10</v>
      </c>
      <c r="S1736">
        <v>3</v>
      </c>
      <c r="T1736">
        <v>23.1</v>
      </c>
      <c r="U1736">
        <v>47.1</v>
      </c>
      <c r="V1736">
        <v>2962</v>
      </c>
      <c r="W1736">
        <v>30</v>
      </c>
      <c r="X1736" t="s">
        <v>507</v>
      </c>
    </row>
    <row r="1737" spans="1:24">
      <c r="A1737" t="str">
        <f>Hyperlink("https://www.diodes.com/part/view/DMTH6005LK3Q","DMTH6005LK3Q")</f>
        <v>DMTH6005LK3Q</v>
      </c>
      <c r="B1737" t="str">
        <f>Hyperlink("https://www.diodes.com/assets/Datasheets/DMTH6005LK3Q.pdf","DMTH6005LK3Q Datasheet")</f>
        <v>DMTH6005LK3Q Datasheet</v>
      </c>
      <c r="C1737" t="s">
        <v>765</v>
      </c>
      <c r="D1737" t="s">
        <v>25</v>
      </c>
      <c r="E1737" t="s">
        <v>33</v>
      </c>
      <c r="F1737" t="s">
        <v>27</v>
      </c>
      <c r="G1737" t="s">
        <v>28</v>
      </c>
      <c r="H1737">
        <v>60</v>
      </c>
      <c r="I1737">
        <v>20</v>
      </c>
      <c r="K1737">
        <v>90</v>
      </c>
      <c r="L1737">
        <v>3.9</v>
      </c>
      <c r="M1737">
        <v>100</v>
      </c>
      <c r="N1737">
        <v>5.6</v>
      </c>
      <c r="O1737">
        <v>10</v>
      </c>
      <c r="S1737">
        <v>3</v>
      </c>
      <c r="T1737">
        <v>23.1</v>
      </c>
      <c r="U1737">
        <v>47.1</v>
      </c>
      <c r="V1737">
        <v>2962</v>
      </c>
      <c r="W1737">
        <v>30</v>
      </c>
      <c r="X1737" t="s">
        <v>507</v>
      </c>
    </row>
    <row r="1738" spans="1:24">
      <c r="A1738" t="str">
        <f>Hyperlink("https://www.diodes.com/part/view/DMTH6005LPS","DMTH6005LPS")</f>
        <v>DMTH6005LPS</v>
      </c>
      <c r="B1738" t="str">
        <f>Hyperlink("https://www.diodes.com/assets/Datasheets/DMTH6005LPS.pdf","DMTH6005LPS Datasheet")</f>
        <v>DMTH6005LPS Datasheet</v>
      </c>
      <c r="C1738" t="s">
        <v>766</v>
      </c>
      <c r="D1738" t="s">
        <v>25</v>
      </c>
      <c r="E1738" t="s">
        <v>26</v>
      </c>
      <c r="F1738" t="s">
        <v>27</v>
      </c>
      <c r="G1738" t="s">
        <v>28</v>
      </c>
      <c r="H1738">
        <v>60</v>
      </c>
      <c r="I1738">
        <v>20</v>
      </c>
      <c r="J1738">
        <v>20.6</v>
      </c>
      <c r="K1738">
        <v>100</v>
      </c>
      <c r="L1738">
        <v>3.2</v>
      </c>
      <c r="M1738">
        <v>150</v>
      </c>
      <c r="N1738">
        <v>5.5</v>
      </c>
      <c r="O1738">
        <v>10</v>
      </c>
      <c r="S1738">
        <v>3</v>
      </c>
      <c r="T1738">
        <v>23.1</v>
      </c>
      <c r="U1738">
        <v>47.1</v>
      </c>
      <c r="V1738">
        <v>2962</v>
      </c>
      <c r="W1738">
        <v>30</v>
      </c>
      <c r="X1738" t="s">
        <v>848</v>
      </c>
    </row>
    <row r="1739" spans="1:24">
      <c r="A1739" t="str">
        <f>Hyperlink("https://www.diodes.com/part/view/DMTH6005LPSQ","DMTH6005LPSQ")</f>
        <v>DMTH6005LPSQ</v>
      </c>
      <c r="B1739" t="str">
        <f>Hyperlink("https://www.diodes.com/assets/Datasheets/DMTH6005LPSQ.pdf","DMTH6005LPSQ Datasheet")</f>
        <v>DMTH6005LPSQ Datasheet</v>
      </c>
      <c r="C1739" t="s">
        <v>766</v>
      </c>
      <c r="D1739" t="s">
        <v>25</v>
      </c>
      <c r="E1739" t="s">
        <v>33</v>
      </c>
      <c r="F1739" t="s">
        <v>27</v>
      </c>
      <c r="G1739" t="s">
        <v>28</v>
      </c>
      <c r="H1739">
        <v>60</v>
      </c>
      <c r="I1739">
        <v>20</v>
      </c>
      <c r="J1739">
        <v>20.6</v>
      </c>
      <c r="K1739">
        <v>100</v>
      </c>
      <c r="L1739">
        <v>3.2</v>
      </c>
      <c r="M1739">
        <v>150</v>
      </c>
      <c r="N1739">
        <v>5.5</v>
      </c>
      <c r="O1739">
        <v>10</v>
      </c>
      <c r="S1739">
        <v>3</v>
      </c>
      <c r="T1739">
        <v>23.1</v>
      </c>
      <c r="U1739">
        <v>47.1</v>
      </c>
      <c r="V1739">
        <v>2962</v>
      </c>
      <c r="W1739">
        <v>30</v>
      </c>
      <c r="X1739" t="s">
        <v>617</v>
      </c>
    </row>
    <row r="1740" spans="1:24">
      <c r="A1740" t="str">
        <f>Hyperlink("https://www.diodes.com/part/view/DMTH6005LPSWQ","DMTH6005LPSWQ")</f>
        <v>DMTH6005LPSWQ</v>
      </c>
      <c r="B1740" t="str">
        <f>Hyperlink("https://www.diodes.com/assets/Datasheets/DMTH6005LPSWQ.pdf","DMTH6005LPSWQ Datasheet")</f>
        <v>DMTH6005LPSWQ Datasheet</v>
      </c>
      <c r="C1740" t="s">
        <v>767</v>
      </c>
      <c r="D1740" t="s">
        <v>25</v>
      </c>
      <c r="E1740" t="s">
        <v>33</v>
      </c>
      <c r="F1740" t="s">
        <v>27</v>
      </c>
      <c r="G1740" t="s">
        <v>28</v>
      </c>
      <c r="H1740">
        <v>60</v>
      </c>
      <c r="I1740">
        <v>20</v>
      </c>
      <c r="K1740">
        <v>100</v>
      </c>
      <c r="L1740">
        <v>3.2</v>
      </c>
      <c r="M1740">
        <v>150</v>
      </c>
      <c r="N1740">
        <v>5.5</v>
      </c>
      <c r="R1740">
        <v>1</v>
      </c>
      <c r="S1740">
        <v>3</v>
      </c>
      <c r="U1740">
        <v>47.1</v>
      </c>
      <c r="V1740">
        <v>2962</v>
      </c>
      <c r="W1740">
        <v>30</v>
      </c>
      <c r="X1740" t="s">
        <v>757</v>
      </c>
    </row>
    <row r="1741" spans="1:24">
      <c r="A1741" t="str">
        <f>Hyperlink("https://www.diodes.com/part/view/DMTH6006LPSW","DMTH6006LPSW")</f>
        <v>DMTH6006LPSW</v>
      </c>
      <c r="B1741" t="str">
        <f>Hyperlink("https://www.diodes.com/assets/Datasheets/DMTH6006LPSW.pdf","DMTH6006LPSW Datasheet")</f>
        <v>DMTH6006LPSW Datasheet</v>
      </c>
      <c r="C1741" t="s">
        <v>766</v>
      </c>
      <c r="D1741" t="s">
        <v>25</v>
      </c>
      <c r="E1741" t="s">
        <v>26</v>
      </c>
      <c r="F1741" t="s">
        <v>27</v>
      </c>
      <c r="G1741" t="s">
        <v>28</v>
      </c>
      <c r="H1741">
        <v>60</v>
      </c>
      <c r="I1741">
        <v>20</v>
      </c>
      <c r="J1741">
        <v>17.2</v>
      </c>
      <c r="K1741">
        <v>100</v>
      </c>
      <c r="L1741">
        <v>2.88</v>
      </c>
      <c r="M1741">
        <v>100</v>
      </c>
      <c r="N1741">
        <v>6.5</v>
      </c>
      <c r="O1741">
        <v>10</v>
      </c>
      <c r="S1741">
        <v>2.5</v>
      </c>
      <c r="T1741">
        <v>18.1</v>
      </c>
      <c r="U1741">
        <v>34.9</v>
      </c>
      <c r="V1741">
        <v>2162</v>
      </c>
      <c r="W1741">
        <v>30</v>
      </c>
      <c r="X1741" t="s">
        <v>617</v>
      </c>
    </row>
    <row r="1742" spans="1:24">
      <c r="A1742" t="str">
        <f>Hyperlink("https://www.diodes.com/part/view/DMTH6006LPSWQ","DMTH6006LPSWQ")</f>
        <v>DMTH6006LPSWQ</v>
      </c>
      <c r="B1742" t="str">
        <f>Hyperlink("https://www.diodes.com/assets/Datasheets/DMTH6006LPSWQ.pdf","DMTH6006LPSWQ Datasheet")</f>
        <v>DMTH6006LPSWQ Datasheet</v>
      </c>
      <c r="C1742" t="s">
        <v>766</v>
      </c>
      <c r="D1742" t="s">
        <v>25</v>
      </c>
      <c r="E1742" t="s">
        <v>33</v>
      </c>
      <c r="F1742" t="s">
        <v>27</v>
      </c>
      <c r="G1742" t="s">
        <v>28</v>
      </c>
      <c r="H1742">
        <v>60</v>
      </c>
      <c r="I1742">
        <v>20</v>
      </c>
      <c r="J1742">
        <v>17.2</v>
      </c>
      <c r="K1742">
        <v>100</v>
      </c>
      <c r="L1742">
        <v>2.88</v>
      </c>
      <c r="M1742">
        <v>100</v>
      </c>
      <c r="N1742">
        <v>6.5</v>
      </c>
      <c r="O1742">
        <v>10</v>
      </c>
      <c r="S1742">
        <v>2.5</v>
      </c>
      <c r="T1742">
        <v>18.1</v>
      </c>
      <c r="U1742">
        <v>34.9</v>
      </c>
      <c r="V1742">
        <v>2162</v>
      </c>
      <c r="W1742">
        <v>30</v>
      </c>
      <c r="X1742" t="s">
        <v>617</v>
      </c>
    </row>
    <row r="1743" spans="1:24">
      <c r="A1743" t="str">
        <f>Hyperlink("https://www.diodes.com/part/view/DMTH6006SPS","DMTH6006SPS")</f>
        <v>DMTH6006SPS</v>
      </c>
      <c r="B1743" t="str">
        <f>Hyperlink("https://www.diodes.com/assets/Datasheets/DMTH6006SPS.pdf","DMTH6006SPS Datasheet")</f>
        <v>DMTH6006SPS Datasheet</v>
      </c>
      <c r="C1743" t="s">
        <v>721</v>
      </c>
      <c r="D1743" t="s">
        <v>28</v>
      </c>
      <c r="E1743" t="s">
        <v>26</v>
      </c>
      <c r="F1743" t="s">
        <v>27</v>
      </c>
      <c r="G1743" t="s">
        <v>28</v>
      </c>
      <c r="H1743">
        <v>60</v>
      </c>
      <c r="I1743">
        <v>20</v>
      </c>
      <c r="J1743">
        <v>17.8</v>
      </c>
      <c r="K1743">
        <v>100</v>
      </c>
      <c r="L1743">
        <v>2.94</v>
      </c>
      <c r="M1743">
        <v>107</v>
      </c>
      <c r="N1743">
        <v>6.2</v>
      </c>
      <c r="S1743">
        <v>4</v>
      </c>
      <c r="U1743">
        <v>27.9</v>
      </c>
      <c r="V1743">
        <v>1721</v>
      </c>
      <c r="W1743">
        <v>30</v>
      </c>
      <c r="X1743" t="s">
        <v>617</v>
      </c>
    </row>
    <row r="1744" spans="1:24">
      <c r="A1744" t="str">
        <f>Hyperlink("https://www.diodes.com/part/view/DMTH6009LK3","DMTH6009LK3")</f>
        <v>DMTH6009LK3</v>
      </c>
      <c r="B1744" t="str">
        <f>Hyperlink("https://www.diodes.com/assets/Datasheets/DMTH6009LK3.pdf","DMTH6009LK3 Datasheet")</f>
        <v>DMTH6009LK3 Datasheet</v>
      </c>
      <c r="C1744" t="s">
        <v>766</v>
      </c>
      <c r="D1744" t="s">
        <v>25</v>
      </c>
      <c r="E1744" t="s">
        <v>26</v>
      </c>
      <c r="F1744" t="s">
        <v>27</v>
      </c>
      <c r="G1744" t="s">
        <v>28</v>
      </c>
      <c r="H1744">
        <v>60</v>
      </c>
      <c r="I1744">
        <v>16</v>
      </c>
      <c r="J1744">
        <v>14.2</v>
      </c>
      <c r="K1744">
        <v>59</v>
      </c>
      <c r="L1744">
        <v>3.2</v>
      </c>
      <c r="M1744">
        <v>60</v>
      </c>
      <c r="N1744">
        <v>10</v>
      </c>
      <c r="O1744">
        <v>12.8</v>
      </c>
      <c r="S1744">
        <v>2</v>
      </c>
      <c r="T1744">
        <v>15.6</v>
      </c>
      <c r="U1744">
        <v>33.5</v>
      </c>
      <c r="V1744">
        <v>1925</v>
      </c>
      <c r="W1744">
        <v>30</v>
      </c>
      <c r="X1744" t="s">
        <v>507</v>
      </c>
    </row>
    <row r="1745" spans="1:24">
      <c r="A1745" t="str">
        <f>Hyperlink("https://www.diodes.com/part/view/DMTH6009LK3Q","DMTH6009LK3Q")</f>
        <v>DMTH6009LK3Q</v>
      </c>
      <c r="B1745" t="str">
        <f>Hyperlink("https://www.diodes.com/assets/Datasheets/DMTH6009LK3Q.pdf","DMTH6009LK3Q Datasheet")</f>
        <v>DMTH6009LK3Q Datasheet</v>
      </c>
      <c r="C1745" t="s">
        <v>766</v>
      </c>
      <c r="D1745" t="s">
        <v>25</v>
      </c>
      <c r="E1745" t="s">
        <v>33</v>
      </c>
      <c r="F1745" t="s">
        <v>27</v>
      </c>
      <c r="G1745" t="s">
        <v>28</v>
      </c>
      <c r="H1745">
        <v>60</v>
      </c>
      <c r="I1745">
        <v>20</v>
      </c>
      <c r="J1745">
        <v>14.2</v>
      </c>
      <c r="L1745">
        <v>3.2</v>
      </c>
      <c r="N1745">
        <v>10</v>
      </c>
      <c r="O1745">
        <v>12.8</v>
      </c>
      <c r="S1745">
        <v>2</v>
      </c>
      <c r="T1745">
        <v>15.6</v>
      </c>
      <c r="U1745">
        <v>33.5</v>
      </c>
      <c r="V1745">
        <v>1925</v>
      </c>
      <c r="W1745">
        <v>30</v>
      </c>
      <c r="X1745" t="s">
        <v>507</v>
      </c>
    </row>
    <row r="1746" spans="1:24">
      <c r="A1746" t="str">
        <f>Hyperlink("https://www.diodes.com/part/view/DMTH6009LPS","DMTH6009LPS")</f>
        <v>DMTH6009LPS</v>
      </c>
      <c r="B1746" t="str">
        <f>Hyperlink("https://www.diodes.com/assets/Datasheets/DMTH6009LPS.pdf","DMTH6009LPS Datasheet")</f>
        <v>DMTH6009LPS Datasheet</v>
      </c>
      <c r="C1746" t="s">
        <v>766</v>
      </c>
      <c r="D1746" t="s">
        <v>25</v>
      </c>
      <c r="E1746" t="s">
        <v>26</v>
      </c>
      <c r="F1746" t="s">
        <v>27</v>
      </c>
      <c r="G1746" t="s">
        <v>28</v>
      </c>
      <c r="H1746">
        <v>60</v>
      </c>
      <c r="I1746">
        <v>16</v>
      </c>
      <c r="J1746">
        <v>11.76</v>
      </c>
      <c r="K1746">
        <v>89.5</v>
      </c>
      <c r="L1746">
        <v>2.8</v>
      </c>
      <c r="M1746">
        <v>136</v>
      </c>
      <c r="N1746">
        <v>10</v>
      </c>
      <c r="O1746">
        <v>12</v>
      </c>
      <c r="S1746">
        <v>2</v>
      </c>
      <c r="T1746">
        <v>15.6</v>
      </c>
      <c r="U1746">
        <v>33.5</v>
      </c>
      <c r="V1746">
        <v>1925</v>
      </c>
      <c r="W1746">
        <v>30</v>
      </c>
      <c r="X1746" t="s">
        <v>848</v>
      </c>
    </row>
    <row r="1747" spans="1:24">
      <c r="A1747" t="str">
        <f>Hyperlink("https://www.diodes.com/part/view/DMTH6009LPSQ","DMTH6009LPSQ")</f>
        <v>DMTH6009LPSQ</v>
      </c>
      <c r="B1747" t="str">
        <f>Hyperlink("https://www.diodes.com/assets/Datasheets/DMTH6009LPSQ.pdf","DMTH6009LPSQ Datasheet")</f>
        <v>DMTH6009LPSQ Datasheet</v>
      </c>
      <c r="C1747" t="s">
        <v>765</v>
      </c>
      <c r="D1747" t="s">
        <v>25</v>
      </c>
      <c r="E1747" t="s">
        <v>33</v>
      </c>
      <c r="F1747" t="s">
        <v>27</v>
      </c>
      <c r="G1747" t="s">
        <v>28</v>
      </c>
      <c r="H1747">
        <v>60</v>
      </c>
      <c r="I1747">
        <v>16</v>
      </c>
      <c r="J1747">
        <v>11.76</v>
      </c>
      <c r="K1747">
        <v>89.5</v>
      </c>
      <c r="L1747">
        <v>2.8</v>
      </c>
      <c r="M1747">
        <v>136</v>
      </c>
      <c r="N1747">
        <v>10</v>
      </c>
      <c r="O1747">
        <v>12</v>
      </c>
      <c r="S1747">
        <v>2</v>
      </c>
      <c r="T1747">
        <v>15.6</v>
      </c>
      <c r="U1747">
        <v>33.5</v>
      </c>
      <c r="V1747">
        <v>1925</v>
      </c>
      <c r="W1747">
        <v>30</v>
      </c>
      <c r="X1747" t="s">
        <v>617</v>
      </c>
    </row>
    <row r="1748" spans="1:24">
      <c r="A1748" t="str">
        <f>Hyperlink("https://www.diodes.com/part/view/DMTH6009LPSWQ","DMTH6009LPSWQ")</f>
        <v>DMTH6009LPSWQ</v>
      </c>
      <c r="B1748" t="str">
        <f>Hyperlink("https://www.diodes.com/assets/Datasheets/DMTH6009LPSWQ.pdf","DMTH6009LPSWQ Datasheet")</f>
        <v>DMTH6009LPSWQ Datasheet</v>
      </c>
      <c r="C1748" t="s">
        <v>767</v>
      </c>
      <c r="D1748" t="s">
        <v>25</v>
      </c>
      <c r="E1748" t="s">
        <v>33</v>
      </c>
      <c r="F1748" t="s">
        <v>27</v>
      </c>
      <c r="G1748" t="s">
        <v>28</v>
      </c>
      <c r="H1748">
        <v>60</v>
      </c>
      <c r="I1748">
        <v>16</v>
      </c>
      <c r="K1748">
        <v>89.5</v>
      </c>
      <c r="L1748">
        <v>2.8</v>
      </c>
      <c r="M1748">
        <v>136</v>
      </c>
      <c r="N1748">
        <v>10</v>
      </c>
      <c r="R1748">
        <v>0.7</v>
      </c>
      <c r="S1748">
        <v>2</v>
      </c>
      <c r="U1748">
        <v>33.5</v>
      </c>
      <c r="V1748">
        <v>1925</v>
      </c>
      <c r="W1748">
        <v>30</v>
      </c>
      <c r="X1748" t="s">
        <v>757</v>
      </c>
    </row>
    <row r="1749" spans="1:24">
      <c r="A1749" t="str">
        <f>Hyperlink("https://www.diodes.com/part/view/DMTH6009SPS","DMTH6009SPS")</f>
        <v>DMTH6009SPS</v>
      </c>
      <c r="B1749" t="str">
        <f>Hyperlink("https://www.diodes.com/assets/Datasheets/DMTH6009SPS.pdf","DMTH6009SPS Datasheet")</f>
        <v>DMTH6009SPS Datasheet</v>
      </c>
      <c r="C1749" t="s">
        <v>766</v>
      </c>
      <c r="D1749" t="s">
        <v>25</v>
      </c>
      <c r="E1749" t="s">
        <v>26</v>
      </c>
      <c r="F1749" t="s">
        <v>27</v>
      </c>
      <c r="G1749" t="s">
        <v>28</v>
      </c>
      <c r="H1749">
        <v>60</v>
      </c>
      <c r="I1749">
        <v>20</v>
      </c>
      <c r="J1749">
        <v>12.9</v>
      </c>
      <c r="K1749">
        <v>89.5</v>
      </c>
      <c r="L1749">
        <v>2.8</v>
      </c>
      <c r="M1749">
        <v>136</v>
      </c>
      <c r="N1749">
        <v>10</v>
      </c>
      <c r="O1749">
        <v>13.5</v>
      </c>
      <c r="S1749">
        <v>2.8</v>
      </c>
      <c r="T1749">
        <v>13.9</v>
      </c>
      <c r="U1749">
        <v>29.3</v>
      </c>
      <c r="V1749">
        <v>1572</v>
      </c>
      <c r="W1749">
        <v>30</v>
      </c>
      <c r="X1749" t="s">
        <v>617</v>
      </c>
    </row>
    <row r="1750" spans="1:24">
      <c r="A1750" t="str">
        <f>Hyperlink("https://www.diodes.com/part/view/DMTH6010LK3","DMTH6010LK3")</f>
        <v>DMTH6010LK3</v>
      </c>
      <c r="B1750" t="str">
        <f>Hyperlink("https://www.diodes.com/assets/Datasheets/DMTH6010LK3.pdf","DMTH6010LK3 Datasheet")</f>
        <v>DMTH6010LK3 Datasheet</v>
      </c>
      <c r="C1750" t="s">
        <v>766</v>
      </c>
      <c r="D1750" t="s">
        <v>25</v>
      </c>
      <c r="E1750" t="s">
        <v>26</v>
      </c>
      <c r="F1750" t="s">
        <v>27</v>
      </c>
      <c r="G1750" t="s">
        <v>28</v>
      </c>
      <c r="H1750">
        <v>60</v>
      </c>
      <c r="I1750">
        <v>20</v>
      </c>
      <c r="J1750">
        <v>14.8</v>
      </c>
      <c r="K1750">
        <v>70</v>
      </c>
      <c r="L1750">
        <v>3.1</v>
      </c>
      <c r="M1750">
        <v>60</v>
      </c>
      <c r="N1750">
        <v>8</v>
      </c>
      <c r="O1750">
        <v>12</v>
      </c>
      <c r="S1750">
        <v>3</v>
      </c>
      <c r="T1750">
        <v>19.3</v>
      </c>
      <c r="U1750">
        <v>41.3</v>
      </c>
      <c r="V1750">
        <v>2090</v>
      </c>
      <c r="W1750">
        <v>30</v>
      </c>
      <c r="X1750" t="s">
        <v>507</v>
      </c>
    </row>
    <row r="1751" spans="1:24">
      <c r="A1751" t="str">
        <f>Hyperlink("https://www.diodes.com/part/view/DMTH6010LK3Q","DMTH6010LK3Q")</f>
        <v>DMTH6010LK3Q</v>
      </c>
      <c r="B1751" t="str">
        <f>Hyperlink("https://www.diodes.com/assets/Datasheets/DMTH6010LK3Q.pdf","DMTH6010LK3Q Datasheet")</f>
        <v>DMTH6010LK3Q Datasheet</v>
      </c>
      <c r="C1751" t="s">
        <v>766</v>
      </c>
      <c r="D1751" t="s">
        <v>25</v>
      </c>
      <c r="E1751" t="s">
        <v>33</v>
      </c>
      <c r="F1751" t="s">
        <v>27</v>
      </c>
      <c r="G1751" t="s">
        <v>28</v>
      </c>
      <c r="H1751">
        <v>60</v>
      </c>
      <c r="I1751">
        <v>20</v>
      </c>
      <c r="J1751">
        <v>14.8</v>
      </c>
      <c r="K1751">
        <v>70</v>
      </c>
      <c r="L1751">
        <v>3.1</v>
      </c>
      <c r="M1751">
        <v>60</v>
      </c>
      <c r="N1751">
        <v>8</v>
      </c>
      <c r="O1751">
        <v>12</v>
      </c>
      <c r="S1751">
        <v>3</v>
      </c>
      <c r="T1751">
        <v>19.3</v>
      </c>
      <c r="U1751">
        <v>41.3</v>
      </c>
      <c r="V1751">
        <v>2090</v>
      </c>
      <c r="W1751">
        <v>30</v>
      </c>
      <c r="X1751" t="s">
        <v>507</v>
      </c>
    </row>
    <row r="1752" spans="1:24">
      <c r="A1752" t="str">
        <f>Hyperlink("https://www.diodes.com/part/view/DMTH6010LPD","DMTH6010LPD")</f>
        <v>DMTH6010LPD</v>
      </c>
      <c r="B1752" t="str">
        <f>Hyperlink("https://www.diodes.com/assets/Datasheets/DMTH6010LPD.pdf","DMTH6010LPD Datasheet")</f>
        <v>DMTH6010LPD Datasheet</v>
      </c>
      <c r="C1752" t="s">
        <v>34</v>
      </c>
      <c r="D1752" t="s">
        <v>25</v>
      </c>
      <c r="E1752" t="s">
        <v>26</v>
      </c>
      <c r="F1752" t="s">
        <v>35</v>
      </c>
      <c r="G1752" t="s">
        <v>28</v>
      </c>
      <c r="H1752">
        <v>60</v>
      </c>
      <c r="I1752">
        <v>20</v>
      </c>
      <c r="J1752">
        <v>13.1</v>
      </c>
      <c r="K1752">
        <v>47.6</v>
      </c>
      <c r="L1752">
        <v>2.8</v>
      </c>
      <c r="M1752">
        <v>37.5</v>
      </c>
      <c r="N1752">
        <v>11</v>
      </c>
      <c r="O1752">
        <v>16</v>
      </c>
      <c r="S1752">
        <v>3</v>
      </c>
      <c r="T1752">
        <v>20.3</v>
      </c>
      <c r="U1752">
        <v>40.2</v>
      </c>
      <c r="V1752">
        <v>2090</v>
      </c>
      <c r="W1752">
        <v>30</v>
      </c>
      <c r="X1752" t="s">
        <v>1010</v>
      </c>
    </row>
    <row r="1753" spans="1:24">
      <c r="A1753" t="str">
        <f>Hyperlink("https://www.diodes.com/part/view/DMTH6010LPDQ","DMTH6010LPDQ")</f>
        <v>DMTH6010LPDQ</v>
      </c>
      <c r="B1753" t="str">
        <f>Hyperlink("https://www.diodes.com/assets/Datasheets/DMTH6010LPDQ.pdf","DMTH6010LPDQ Datasheet")</f>
        <v>DMTH6010LPDQ Datasheet</v>
      </c>
      <c r="C1753" t="s">
        <v>769</v>
      </c>
      <c r="D1753" t="s">
        <v>25</v>
      </c>
      <c r="E1753" t="s">
        <v>33</v>
      </c>
      <c r="F1753" t="s">
        <v>35</v>
      </c>
      <c r="G1753" t="s">
        <v>28</v>
      </c>
      <c r="H1753">
        <v>60</v>
      </c>
      <c r="I1753">
        <v>20</v>
      </c>
      <c r="J1753">
        <v>13.1</v>
      </c>
      <c r="K1753">
        <v>47.6</v>
      </c>
      <c r="L1753">
        <v>2.8</v>
      </c>
      <c r="M1753">
        <v>37.5</v>
      </c>
      <c r="N1753">
        <v>11</v>
      </c>
      <c r="O1753">
        <v>16</v>
      </c>
      <c r="S1753">
        <v>3</v>
      </c>
      <c r="T1753">
        <v>20.3</v>
      </c>
      <c r="U1753">
        <v>40.2</v>
      </c>
      <c r="V1753">
        <v>2615</v>
      </c>
      <c r="W1753">
        <v>30</v>
      </c>
      <c r="X1753" t="s">
        <v>1010</v>
      </c>
    </row>
    <row r="1754" spans="1:24">
      <c r="A1754" t="str">
        <f>Hyperlink("https://www.diodes.com/part/view/DMTH6010LPDW","DMTH6010LPDW")</f>
        <v>DMTH6010LPDW</v>
      </c>
      <c r="B1754" t="str">
        <f>Hyperlink("https://www.diodes.com/assets/Datasheets/DMTH6010LPDW.pdf","DMTH6010LPDW Datasheet")</f>
        <v>DMTH6010LPDW Datasheet</v>
      </c>
      <c r="C1754" t="s">
        <v>769</v>
      </c>
      <c r="D1754" t="s">
        <v>28</v>
      </c>
      <c r="E1754" t="s">
        <v>26</v>
      </c>
      <c r="F1754" t="s">
        <v>35</v>
      </c>
      <c r="G1754" t="s">
        <v>28</v>
      </c>
      <c r="H1754">
        <v>60</v>
      </c>
      <c r="I1754">
        <v>20</v>
      </c>
      <c r="J1754">
        <v>13.1</v>
      </c>
      <c r="K1754">
        <v>47.6</v>
      </c>
      <c r="L1754">
        <v>2.8</v>
      </c>
      <c r="M1754">
        <v>37.5</v>
      </c>
      <c r="N1754">
        <v>11</v>
      </c>
      <c r="O1754">
        <v>16</v>
      </c>
      <c r="R1754">
        <v>1</v>
      </c>
      <c r="S1754">
        <v>3</v>
      </c>
      <c r="T1754">
        <v>20.3</v>
      </c>
      <c r="U1754">
        <v>40.2</v>
      </c>
      <c r="V1754">
        <v>2615</v>
      </c>
      <c r="W1754">
        <v>30</v>
      </c>
      <c r="X1754" t="s">
        <v>115</v>
      </c>
    </row>
    <row r="1755" spans="1:24">
      <c r="A1755" t="str">
        <f>Hyperlink("https://www.diodes.com/part/view/DMTH6010LPDWQ","DMTH6010LPDWQ")</f>
        <v>DMTH6010LPDWQ</v>
      </c>
      <c r="B1755" t="str">
        <f>Hyperlink("https://www.diodes.com/assets/Datasheets/DMTH6010LPDWQ.pdf","DMTH6010LPDWQ Datasheet")</f>
        <v>DMTH6010LPDWQ Datasheet</v>
      </c>
      <c r="C1755" t="s">
        <v>769</v>
      </c>
      <c r="D1755" t="s">
        <v>25</v>
      </c>
      <c r="E1755" t="s">
        <v>33</v>
      </c>
      <c r="F1755" t="s">
        <v>35</v>
      </c>
      <c r="G1755" t="s">
        <v>28</v>
      </c>
      <c r="H1755">
        <v>60</v>
      </c>
      <c r="I1755">
        <v>20</v>
      </c>
      <c r="J1755">
        <v>13.1</v>
      </c>
      <c r="K1755">
        <v>47.6</v>
      </c>
      <c r="L1755">
        <v>2.8</v>
      </c>
      <c r="M1755">
        <v>37.5</v>
      </c>
      <c r="N1755">
        <v>11</v>
      </c>
      <c r="O1755">
        <v>16</v>
      </c>
      <c r="R1755">
        <v>1</v>
      </c>
      <c r="S1755">
        <v>3</v>
      </c>
      <c r="T1755">
        <v>20.3</v>
      </c>
      <c r="U1755">
        <v>40.2</v>
      </c>
      <c r="V1755">
        <v>2615</v>
      </c>
      <c r="W1755">
        <v>30</v>
      </c>
      <c r="X1755" t="s">
        <v>115</v>
      </c>
    </row>
    <row r="1756" spans="1:24">
      <c r="A1756" t="str">
        <f>Hyperlink("https://www.diodes.com/part/view/DMTH6010LPS","DMTH6010LPS")</f>
        <v>DMTH6010LPS</v>
      </c>
      <c r="B1756" t="str">
        <f>Hyperlink("https://www.diodes.com/assets/Datasheets/DMTH6010LPS.pdf","DMTH6010LPS Datasheet")</f>
        <v>DMTH6010LPS Datasheet</v>
      </c>
      <c r="C1756" t="s">
        <v>766</v>
      </c>
      <c r="D1756" t="s">
        <v>25</v>
      </c>
      <c r="E1756" t="s">
        <v>26</v>
      </c>
      <c r="F1756" t="s">
        <v>27</v>
      </c>
      <c r="G1756" t="s">
        <v>28</v>
      </c>
      <c r="H1756">
        <v>60</v>
      </c>
      <c r="I1756">
        <v>20</v>
      </c>
      <c r="J1756">
        <v>13.5</v>
      </c>
      <c r="K1756">
        <v>100</v>
      </c>
      <c r="L1756">
        <v>2.6</v>
      </c>
      <c r="M1756">
        <v>136</v>
      </c>
      <c r="N1756">
        <v>8</v>
      </c>
      <c r="O1756">
        <v>12</v>
      </c>
      <c r="S1756">
        <v>3</v>
      </c>
      <c r="T1756">
        <v>19.3</v>
      </c>
      <c r="U1756">
        <v>41.3</v>
      </c>
      <c r="V1756">
        <v>2090</v>
      </c>
      <c r="W1756">
        <v>30</v>
      </c>
      <c r="X1756" t="s">
        <v>617</v>
      </c>
    </row>
    <row r="1757" spans="1:24">
      <c r="A1757" t="str">
        <f>Hyperlink("https://www.diodes.com/part/view/DMTH6010LPSQ","DMTH6010LPSQ")</f>
        <v>DMTH6010LPSQ</v>
      </c>
      <c r="B1757" t="str">
        <f>Hyperlink("https://www.diodes.com/assets/Datasheets/DMTH6010LPSQ.pdf","DMTH6010LPSQ Datasheet")</f>
        <v>DMTH6010LPSQ Datasheet</v>
      </c>
      <c r="C1757" t="s">
        <v>766</v>
      </c>
      <c r="D1757" t="s">
        <v>25</v>
      </c>
      <c r="E1757" t="s">
        <v>33</v>
      </c>
      <c r="F1757" t="s">
        <v>27</v>
      </c>
      <c r="G1757" t="s">
        <v>28</v>
      </c>
      <c r="H1757">
        <v>60</v>
      </c>
      <c r="I1757">
        <v>20</v>
      </c>
      <c r="J1757">
        <v>13.5</v>
      </c>
      <c r="K1757">
        <v>100</v>
      </c>
      <c r="L1757">
        <v>2.6</v>
      </c>
      <c r="M1757">
        <v>136</v>
      </c>
      <c r="N1757">
        <v>8</v>
      </c>
      <c r="O1757">
        <v>12</v>
      </c>
      <c r="S1757">
        <v>3</v>
      </c>
      <c r="T1757">
        <v>19.3</v>
      </c>
      <c r="U1757">
        <v>41.3</v>
      </c>
      <c r="V1757">
        <v>2090</v>
      </c>
      <c r="W1757">
        <v>30</v>
      </c>
      <c r="X1757" t="s">
        <v>617</v>
      </c>
    </row>
    <row r="1758" spans="1:24">
      <c r="A1758" t="str">
        <f>Hyperlink("https://www.diodes.com/part/view/DMTH6010LPSW","DMTH6010LPSW")</f>
        <v>DMTH6010LPSW</v>
      </c>
      <c r="B1758" t="str">
        <f>Hyperlink("https://www.diodes.com/assets/Datasheets/DMTH6010LPSW.pdf","DMTH6010LPSW Datasheet")</f>
        <v>DMTH6010LPSW Datasheet</v>
      </c>
      <c r="C1758" t="s">
        <v>766</v>
      </c>
      <c r="D1758" t="s">
        <v>25</v>
      </c>
      <c r="E1758" t="s">
        <v>26</v>
      </c>
      <c r="F1758" t="s">
        <v>27</v>
      </c>
      <c r="G1758" t="s">
        <v>28</v>
      </c>
      <c r="H1758">
        <v>60</v>
      </c>
      <c r="I1758">
        <v>20</v>
      </c>
      <c r="J1758">
        <v>15.5</v>
      </c>
      <c r="K1758">
        <v>80</v>
      </c>
      <c r="L1758">
        <v>2.9</v>
      </c>
      <c r="M1758">
        <v>75</v>
      </c>
      <c r="N1758">
        <v>8</v>
      </c>
      <c r="O1758">
        <v>12</v>
      </c>
      <c r="S1758">
        <v>3</v>
      </c>
      <c r="T1758">
        <v>19.3</v>
      </c>
      <c r="U1758">
        <v>41.3</v>
      </c>
      <c r="V1758">
        <v>2090</v>
      </c>
      <c r="W1758">
        <v>30</v>
      </c>
      <c r="X1758" t="s">
        <v>617</v>
      </c>
    </row>
    <row r="1759" spans="1:24">
      <c r="A1759" t="str">
        <f>Hyperlink("https://www.diodes.com/part/view/DMTH6010LPSWQ","DMTH6010LPSWQ")</f>
        <v>DMTH6010LPSWQ</v>
      </c>
      <c r="B1759" t="str">
        <f>Hyperlink("https://www.diodes.com/assets/Datasheets/DMTH6010LPSWQ.pdf","DMTH6010LPSWQ Datasheet")</f>
        <v>DMTH6010LPSWQ Datasheet</v>
      </c>
      <c r="C1759" t="s">
        <v>766</v>
      </c>
      <c r="D1759" t="s">
        <v>25</v>
      </c>
      <c r="E1759" t="s">
        <v>33</v>
      </c>
      <c r="F1759" t="s">
        <v>27</v>
      </c>
      <c r="G1759" t="s">
        <v>28</v>
      </c>
      <c r="H1759">
        <v>60</v>
      </c>
      <c r="I1759">
        <v>20</v>
      </c>
      <c r="J1759">
        <v>15.5</v>
      </c>
      <c r="K1759">
        <v>80</v>
      </c>
      <c r="L1759">
        <v>2.9</v>
      </c>
      <c r="M1759">
        <v>75</v>
      </c>
      <c r="N1759">
        <v>8</v>
      </c>
      <c r="O1759">
        <v>12</v>
      </c>
      <c r="S1759">
        <v>3</v>
      </c>
      <c r="T1759">
        <v>19.3</v>
      </c>
      <c r="U1759">
        <v>41.3</v>
      </c>
      <c r="V1759">
        <v>2090</v>
      </c>
      <c r="W1759">
        <v>30</v>
      </c>
      <c r="X1759" t="s">
        <v>617</v>
      </c>
    </row>
    <row r="1760" spans="1:24">
      <c r="A1760" t="str">
        <f>Hyperlink("https://www.diodes.com/part/view/DMTH6010SCT","DMTH6010SCT")</f>
        <v>DMTH6010SCT</v>
      </c>
      <c r="B1760" t="str">
        <f>Hyperlink("https://www.diodes.com/assets/Datasheets/DMTH6010SCT.pdf","DMTH6010SCT Datasheet")</f>
        <v>DMTH6010SCT Datasheet</v>
      </c>
      <c r="C1760" t="s">
        <v>766</v>
      </c>
      <c r="D1760" t="s">
        <v>28</v>
      </c>
      <c r="E1760" t="s">
        <v>26</v>
      </c>
      <c r="F1760" t="s">
        <v>27</v>
      </c>
      <c r="G1760" t="s">
        <v>28</v>
      </c>
      <c r="H1760">
        <v>60</v>
      </c>
      <c r="I1760">
        <v>20</v>
      </c>
      <c r="K1760">
        <v>100</v>
      </c>
      <c r="L1760">
        <v>2.8</v>
      </c>
      <c r="M1760">
        <v>125</v>
      </c>
      <c r="N1760">
        <v>7.2</v>
      </c>
      <c r="S1760">
        <v>4</v>
      </c>
      <c r="U1760">
        <v>36.3</v>
      </c>
      <c r="V1760">
        <v>1940</v>
      </c>
      <c r="W1760">
        <v>30</v>
      </c>
      <c r="X1760" t="s">
        <v>962</v>
      </c>
    </row>
    <row r="1761" spans="1:24">
      <c r="A1761" t="str">
        <f>Hyperlink("https://www.diodes.com/part/view/DMTH6010SK3","DMTH6010SK3")</f>
        <v>DMTH6010SK3</v>
      </c>
      <c r="B1761" t="str">
        <f>Hyperlink("https://www.diodes.com/assets/Datasheets/DMTH6010SK3.pdf","DMTH6010SK3 Datasheet")</f>
        <v>DMTH6010SK3 Datasheet</v>
      </c>
      <c r="C1761" t="s">
        <v>24</v>
      </c>
      <c r="D1761" t="s">
        <v>25</v>
      </c>
      <c r="E1761" t="s">
        <v>26</v>
      </c>
      <c r="F1761" t="s">
        <v>27</v>
      </c>
      <c r="G1761" t="s">
        <v>28</v>
      </c>
      <c r="H1761">
        <v>60</v>
      </c>
      <c r="I1761">
        <v>20</v>
      </c>
      <c r="J1761">
        <v>16.3</v>
      </c>
      <c r="K1761">
        <v>70</v>
      </c>
      <c r="L1761">
        <v>3.1</v>
      </c>
      <c r="M1761">
        <v>59</v>
      </c>
      <c r="N1761">
        <v>8</v>
      </c>
      <c r="S1761">
        <v>4</v>
      </c>
      <c r="U1761">
        <v>38.1</v>
      </c>
      <c r="V1761">
        <v>2841</v>
      </c>
      <c r="W1761">
        <v>30</v>
      </c>
      <c r="X1761" t="s">
        <v>507</v>
      </c>
    </row>
    <row r="1762" spans="1:24">
      <c r="A1762" t="str">
        <f>Hyperlink("https://www.diodes.com/part/view/DMTH6010SK3Q","DMTH6010SK3Q")</f>
        <v>DMTH6010SK3Q</v>
      </c>
      <c r="B1762" t="str">
        <f>Hyperlink("https://www.diodes.com/assets/Datasheets/DMTH6010SK3Q.pdf","DMTH6010SK3Q Datasheet")</f>
        <v>DMTH6010SK3Q Datasheet</v>
      </c>
      <c r="C1762" t="s">
        <v>766</v>
      </c>
      <c r="D1762" t="s">
        <v>25</v>
      </c>
      <c r="E1762" t="s">
        <v>33</v>
      </c>
      <c r="F1762" t="s">
        <v>27</v>
      </c>
      <c r="G1762" t="s">
        <v>28</v>
      </c>
      <c r="H1762">
        <v>60</v>
      </c>
      <c r="I1762">
        <v>20</v>
      </c>
      <c r="J1762">
        <v>16.3</v>
      </c>
      <c r="K1762">
        <v>70</v>
      </c>
      <c r="L1762">
        <v>3.1</v>
      </c>
      <c r="M1762">
        <v>59</v>
      </c>
      <c r="N1762">
        <v>8</v>
      </c>
      <c r="S1762">
        <v>4</v>
      </c>
      <c r="U1762">
        <v>38.1</v>
      </c>
      <c r="V1762">
        <v>2841</v>
      </c>
      <c r="W1762">
        <v>30</v>
      </c>
      <c r="X1762" t="s">
        <v>507</v>
      </c>
    </row>
    <row r="1763" spans="1:24">
      <c r="A1763" t="str">
        <f>Hyperlink("https://www.diodes.com/part/view/DMTH6010SPS","DMTH6010SPS")</f>
        <v>DMTH6010SPS</v>
      </c>
      <c r="B1763" t="str">
        <f>Hyperlink("https://www.diodes.com/assets/Datasheets/DMTH6010SPS.pdf","DMTH6010SPS Datasheet")</f>
        <v>DMTH6010SPS Datasheet</v>
      </c>
      <c r="C1763" t="s">
        <v>766</v>
      </c>
      <c r="D1763" t="s">
        <v>25</v>
      </c>
      <c r="E1763" t="s">
        <v>26</v>
      </c>
      <c r="F1763" t="s">
        <v>27</v>
      </c>
      <c r="G1763" t="s">
        <v>28</v>
      </c>
      <c r="H1763">
        <v>60</v>
      </c>
      <c r="I1763">
        <v>20</v>
      </c>
      <c r="J1763">
        <v>13.5</v>
      </c>
      <c r="K1763">
        <v>100</v>
      </c>
      <c r="L1763">
        <v>2.6</v>
      </c>
      <c r="M1763">
        <v>167</v>
      </c>
      <c r="N1763">
        <v>8</v>
      </c>
      <c r="S1763">
        <v>4</v>
      </c>
      <c r="U1763">
        <v>38.1</v>
      </c>
      <c r="V1763">
        <v>2841</v>
      </c>
      <c r="W1763">
        <v>30</v>
      </c>
      <c r="X1763" t="s">
        <v>617</v>
      </c>
    </row>
    <row r="1764" spans="1:24">
      <c r="A1764" t="str">
        <f>Hyperlink("https://www.diodes.com/part/view/DMTH6012LPSW","DMTH6012LPSW")</f>
        <v>DMTH6012LPSW</v>
      </c>
      <c r="B1764" t="str">
        <f>Hyperlink("https://www.diodes.com/assets/Datasheets/DMTH6012LPSW.pdf","DMTH6012LPSW Datasheet")</f>
        <v>DMTH6012LPSW Datasheet</v>
      </c>
      <c r="C1764" t="s">
        <v>766</v>
      </c>
      <c r="D1764" t="s">
        <v>25</v>
      </c>
      <c r="E1764" t="s">
        <v>26</v>
      </c>
      <c r="F1764" t="s">
        <v>27</v>
      </c>
      <c r="G1764" t="s">
        <v>28</v>
      </c>
      <c r="H1764">
        <v>60</v>
      </c>
      <c r="I1764">
        <v>20</v>
      </c>
      <c r="J1764">
        <v>11.5</v>
      </c>
      <c r="K1764">
        <v>50.5</v>
      </c>
      <c r="L1764">
        <v>2.8</v>
      </c>
      <c r="M1764">
        <v>53.6</v>
      </c>
      <c r="N1764">
        <v>14</v>
      </c>
      <c r="O1764">
        <v>21</v>
      </c>
      <c r="S1764">
        <v>2.3</v>
      </c>
      <c r="T1764">
        <v>7.3</v>
      </c>
      <c r="U1764">
        <v>13.6</v>
      </c>
      <c r="V1764">
        <v>785</v>
      </c>
      <c r="W1764">
        <v>30</v>
      </c>
      <c r="X1764" t="s">
        <v>617</v>
      </c>
    </row>
    <row r="1765" spans="1:24">
      <c r="A1765" t="str">
        <f>Hyperlink("https://www.diodes.com/part/view/DMTH6012LPSWQ","DMTH6012LPSWQ")</f>
        <v>DMTH6012LPSWQ</v>
      </c>
      <c r="B1765" t="str">
        <f>Hyperlink("https://www.diodes.com/assets/Datasheets/DMTH6012LPSWQ.pdf","DMTH6012LPSWQ Datasheet")</f>
        <v>DMTH6012LPSWQ Datasheet</v>
      </c>
      <c r="C1765" t="s">
        <v>765</v>
      </c>
      <c r="D1765" t="s">
        <v>25</v>
      </c>
      <c r="E1765" t="s">
        <v>33</v>
      </c>
      <c r="F1765" t="s">
        <v>27</v>
      </c>
      <c r="G1765" t="s">
        <v>28</v>
      </c>
      <c r="H1765">
        <v>60</v>
      </c>
      <c r="I1765">
        <v>20</v>
      </c>
      <c r="J1765">
        <v>11.5</v>
      </c>
      <c r="K1765">
        <v>50.5</v>
      </c>
      <c r="L1765">
        <v>2.8</v>
      </c>
      <c r="M1765">
        <v>53.6</v>
      </c>
      <c r="N1765">
        <v>14</v>
      </c>
      <c r="O1765">
        <v>21</v>
      </c>
      <c r="S1765">
        <v>2.3</v>
      </c>
      <c r="T1765">
        <v>7.3</v>
      </c>
      <c r="U1765">
        <v>13.6</v>
      </c>
      <c r="V1765">
        <v>785</v>
      </c>
      <c r="W1765">
        <v>30</v>
      </c>
      <c r="X1765" t="s">
        <v>617</v>
      </c>
    </row>
    <row r="1766" spans="1:24">
      <c r="A1766" t="str">
        <f>Hyperlink("https://www.diodes.com/part/view/DMTH6015LDVW","DMTH6015LDVW")</f>
        <v>DMTH6015LDVW</v>
      </c>
      <c r="B1766" t="str">
        <f>Hyperlink("https://www.diodes.com/assets/Datasheets/DMTH6015LDVW.pdf","DMTH6015LDVW Datasheet")</f>
        <v>DMTH6015LDVW Datasheet</v>
      </c>
      <c r="C1766" t="s">
        <v>765</v>
      </c>
      <c r="D1766" t="s">
        <v>28</v>
      </c>
      <c r="E1766" t="s">
        <v>26</v>
      </c>
      <c r="F1766" t="s">
        <v>35</v>
      </c>
      <c r="G1766" t="s">
        <v>25</v>
      </c>
      <c r="H1766">
        <v>60</v>
      </c>
      <c r="I1766">
        <v>16</v>
      </c>
      <c r="J1766">
        <v>9.2</v>
      </c>
      <c r="K1766">
        <v>24.5</v>
      </c>
      <c r="L1766">
        <v>3</v>
      </c>
      <c r="M1766">
        <v>24.5</v>
      </c>
      <c r="N1766">
        <v>20.5</v>
      </c>
      <c r="O1766">
        <v>27</v>
      </c>
      <c r="S1766">
        <v>2.5</v>
      </c>
      <c r="T1766">
        <v>7.1</v>
      </c>
      <c r="U1766">
        <v>14.3</v>
      </c>
      <c r="V1766">
        <v>825</v>
      </c>
      <c r="W1766">
        <v>30</v>
      </c>
      <c r="X1766" t="s">
        <v>529</v>
      </c>
    </row>
    <row r="1767" spans="1:24">
      <c r="A1767" t="str">
        <f>Hyperlink("https://www.diodes.com/part/view/DMTH6015LDVWQ","DMTH6015LDVWQ")</f>
        <v>DMTH6015LDVWQ</v>
      </c>
      <c r="B1767" t="str">
        <f>Hyperlink("https://www.diodes.com/assets/Datasheets/DMTH6015LDVWQ.pdf","DMTH6015LDVWQ Datasheet")</f>
        <v>DMTH6015LDVWQ Datasheet</v>
      </c>
      <c r="C1767" t="s">
        <v>765</v>
      </c>
      <c r="D1767" t="s">
        <v>25</v>
      </c>
      <c r="E1767" t="s">
        <v>33</v>
      </c>
      <c r="F1767" t="s">
        <v>35</v>
      </c>
      <c r="G1767" t="s">
        <v>25</v>
      </c>
      <c r="H1767">
        <v>60</v>
      </c>
      <c r="I1767">
        <v>16</v>
      </c>
      <c r="J1767">
        <v>9.2</v>
      </c>
      <c r="K1767">
        <v>24.5</v>
      </c>
      <c r="L1767">
        <v>3</v>
      </c>
      <c r="M1767">
        <v>24.5</v>
      </c>
      <c r="N1767">
        <v>20.5</v>
      </c>
      <c r="O1767">
        <v>27</v>
      </c>
      <c r="S1767">
        <v>2.5</v>
      </c>
      <c r="T1767">
        <v>7.1</v>
      </c>
      <c r="U1767">
        <v>14.3</v>
      </c>
      <c r="V1767">
        <v>825</v>
      </c>
      <c r="W1767">
        <v>30</v>
      </c>
      <c r="X1767" t="s">
        <v>529</v>
      </c>
    </row>
    <row r="1768" spans="1:24">
      <c r="A1768" t="str">
        <f>Hyperlink("https://www.diodes.com/part/view/DMTH6015LPDW","DMTH6015LPDW")</f>
        <v>DMTH6015LPDW</v>
      </c>
      <c r="B1768" t="str">
        <f>Hyperlink("https://www.diodes.com/assets/Datasheets/DMTH6015LPDW.pdf","DMTH6015LPDW Datasheet")</f>
        <v>DMTH6015LPDW Datasheet</v>
      </c>
      <c r="C1768" t="s">
        <v>765</v>
      </c>
      <c r="D1768" t="s">
        <v>28</v>
      </c>
      <c r="E1768" t="s">
        <v>26</v>
      </c>
      <c r="F1768" t="s">
        <v>35</v>
      </c>
      <c r="G1768" t="s">
        <v>25</v>
      </c>
      <c r="H1768">
        <v>60</v>
      </c>
      <c r="I1768">
        <v>16</v>
      </c>
      <c r="J1768">
        <v>9.4</v>
      </c>
      <c r="K1768">
        <v>36.3</v>
      </c>
      <c r="L1768">
        <v>2.6</v>
      </c>
      <c r="M1768">
        <v>36.3</v>
      </c>
      <c r="N1768">
        <v>20</v>
      </c>
      <c r="O1768">
        <v>27</v>
      </c>
      <c r="S1768">
        <v>2.5</v>
      </c>
      <c r="T1768">
        <v>7.1</v>
      </c>
      <c r="U1768">
        <v>14.3</v>
      </c>
      <c r="V1768">
        <v>825</v>
      </c>
      <c r="W1768">
        <v>30</v>
      </c>
      <c r="X1768" t="s">
        <v>617</v>
      </c>
    </row>
    <row r="1769" spans="1:24">
      <c r="A1769" t="str">
        <f>Hyperlink("https://www.diodes.com/part/view/DMTH6015LPDWQ","DMTH6015LPDWQ")</f>
        <v>DMTH6015LPDWQ</v>
      </c>
      <c r="B1769" t="str">
        <f>Hyperlink("https://www.diodes.com/assets/Datasheets/DMTH6015LPDWQ.pdf","DMTH6015LPDWQ Datasheet")</f>
        <v>DMTH6015LPDWQ Datasheet</v>
      </c>
      <c r="C1769" t="s">
        <v>765</v>
      </c>
      <c r="D1769" t="s">
        <v>25</v>
      </c>
      <c r="E1769" t="s">
        <v>33</v>
      </c>
      <c r="F1769" t="s">
        <v>35</v>
      </c>
      <c r="G1769" t="s">
        <v>25</v>
      </c>
      <c r="H1769">
        <v>60</v>
      </c>
      <c r="I1769">
        <v>16</v>
      </c>
      <c r="J1769">
        <v>9.4</v>
      </c>
      <c r="K1769">
        <v>36.3</v>
      </c>
      <c r="L1769">
        <v>2.6</v>
      </c>
      <c r="M1769">
        <v>36.3</v>
      </c>
      <c r="N1769">
        <v>20</v>
      </c>
      <c r="O1769">
        <v>27</v>
      </c>
      <c r="S1769">
        <v>2.5</v>
      </c>
      <c r="T1769">
        <v>7.1</v>
      </c>
      <c r="U1769">
        <v>14.3</v>
      </c>
      <c r="V1769">
        <v>825</v>
      </c>
      <c r="W1769">
        <v>30</v>
      </c>
      <c r="X1769" t="s">
        <v>617</v>
      </c>
    </row>
    <row r="1770" spans="1:24">
      <c r="A1770" t="str">
        <f>Hyperlink("https://www.diodes.com/part/view/DMTH6016LFDFW","DMTH6016LFDFW")</f>
        <v>DMTH6016LFDFW</v>
      </c>
      <c r="B1770" t="str">
        <f>Hyperlink("https://www.diodes.com/assets/Datasheets/DMTH6016LFDFW.pdf","DMTH6016LFDFW Datasheet")</f>
        <v>DMTH6016LFDFW Datasheet</v>
      </c>
      <c r="C1770" t="s">
        <v>24</v>
      </c>
      <c r="D1770" t="s">
        <v>25</v>
      </c>
      <c r="E1770" t="s">
        <v>26</v>
      </c>
      <c r="F1770" t="s">
        <v>27</v>
      </c>
      <c r="G1770" t="s">
        <v>28</v>
      </c>
      <c r="H1770">
        <v>60</v>
      </c>
      <c r="I1770">
        <v>20</v>
      </c>
      <c r="J1770">
        <v>9.4</v>
      </c>
      <c r="L1770">
        <v>2.3</v>
      </c>
      <c r="N1770">
        <v>18</v>
      </c>
      <c r="O1770">
        <v>27.5</v>
      </c>
      <c r="S1770">
        <v>3</v>
      </c>
      <c r="T1770">
        <v>7.5</v>
      </c>
      <c r="U1770">
        <v>15.3</v>
      </c>
      <c r="V1770">
        <v>925</v>
      </c>
      <c r="W1770">
        <v>30</v>
      </c>
      <c r="X1770" t="s">
        <v>1001</v>
      </c>
    </row>
    <row r="1771" spans="1:24">
      <c r="A1771" t="str">
        <f>Hyperlink("https://www.diodes.com/part/view/DMTH6016LFDFWQ","DMTH6016LFDFWQ")</f>
        <v>DMTH6016LFDFWQ</v>
      </c>
      <c r="B1771" t="str">
        <f>Hyperlink("https://www.diodes.com/assets/Datasheets/DMTH6016LFDFWQ.pdf","DMTH6016LFDFWQ Datasheet")</f>
        <v>DMTH6016LFDFWQ Datasheet</v>
      </c>
      <c r="C1771" t="s">
        <v>766</v>
      </c>
      <c r="D1771" t="s">
        <v>25</v>
      </c>
      <c r="E1771" t="s">
        <v>33</v>
      </c>
      <c r="F1771" t="s">
        <v>27</v>
      </c>
      <c r="G1771" t="s">
        <v>28</v>
      </c>
      <c r="H1771">
        <v>60</v>
      </c>
      <c r="I1771">
        <v>20</v>
      </c>
      <c r="J1771">
        <v>9.4</v>
      </c>
      <c r="L1771">
        <v>2.3</v>
      </c>
      <c r="N1771">
        <v>18</v>
      </c>
      <c r="O1771">
        <v>27.5</v>
      </c>
      <c r="S1771">
        <v>3</v>
      </c>
      <c r="T1771">
        <v>7.5</v>
      </c>
      <c r="U1771">
        <v>15.3</v>
      </c>
      <c r="V1771">
        <v>925</v>
      </c>
      <c r="W1771">
        <v>30</v>
      </c>
      <c r="X1771" t="s">
        <v>1001</v>
      </c>
    </row>
    <row r="1772" spans="1:24">
      <c r="A1772" t="str">
        <f>Hyperlink("https://www.diodes.com/part/view/DMTH6016LFVW","DMTH6016LFVW")</f>
        <v>DMTH6016LFVW</v>
      </c>
      <c r="B1772" t="str">
        <f>Hyperlink("https://www.diodes.com/assets/Datasheets/DMTH6016LFVW.pdf","DMTH6016LFVW Datasheet")</f>
        <v>DMTH6016LFVW Datasheet</v>
      </c>
      <c r="C1772" t="s">
        <v>766</v>
      </c>
      <c r="D1772" t="s">
        <v>25</v>
      </c>
      <c r="E1772" t="s">
        <v>26</v>
      </c>
      <c r="F1772" t="s">
        <v>27</v>
      </c>
      <c r="G1772" t="s">
        <v>28</v>
      </c>
      <c r="H1772">
        <v>60</v>
      </c>
      <c r="I1772">
        <v>20</v>
      </c>
      <c r="K1772">
        <v>41</v>
      </c>
      <c r="L1772">
        <v>2.38</v>
      </c>
      <c r="N1772">
        <v>16</v>
      </c>
      <c r="O1772">
        <v>27</v>
      </c>
      <c r="S1772">
        <v>2.5</v>
      </c>
      <c r="T1772">
        <v>7.3</v>
      </c>
      <c r="U1772">
        <v>15.1</v>
      </c>
      <c r="V1772">
        <v>939</v>
      </c>
      <c r="W1772">
        <v>30</v>
      </c>
      <c r="X1772" t="s">
        <v>655</v>
      </c>
    </row>
    <row r="1773" spans="1:24">
      <c r="A1773" t="str">
        <f>Hyperlink("https://www.diodes.com/part/view/DMTH6016LFVWQ","DMTH6016LFVWQ")</f>
        <v>DMTH6016LFVWQ</v>
      </c>
      <c r="B1773" t="str">
        <f>Hyperlink("https://www.diodes.com/assets/Datasheets/DMTH6016LFVWQ.pdf","DMTH6016LFVWQ Datasheet")</f>
        <v>DMTH6016LFVWQ Datasheet</v>
      </c>
      <c r="C1773" t="s">
        <v>766</v>
      </c>
      <c r="D1773" t="s">
        <v>25</v>
      </c>
      <c r="E1773" t="s">
        <v>33</v>
      </c>
      <c r="F1773" t="s">
        <v>27</v>
      </c>
      <c r="G1773" t="s">
        <v>28</v>
      </c>
      <c r="H1773">
        <v>60</v>
      </c>
      <c r="I1773">
        <v>20</v>
      </c>
      <c r="K1773">
        <v>41</v>
      </c>
      <c r="L1773">
        <v>2.38</v>
      </c>
      <c r="N1773">
        <v>16</v>
      </c>
      <c r="O1773">
        <v>27</v>
      </c>
      <c r="S1773">
        <v>2.5</v>
      </c>
      <c r="T1773">
        <v>7.3</v>
      </c>
      <c r="U1773">
        <v>15.1</v>
      </c>
      <c r="V1773">
        <v>939</v>
      </c>
      <c r="W1773">
        <v>30</v>
      </c>
      <c r="X1773" t="s">
        <v>655</v>
      </c>
    </row>
    <row r="1774" spans="1:24">
      <c r="A1774" t="str">
        <f>Hyperlink("https://www.diodes.com/part/view/DMTH6016LK3","DMTH6016LK3")</f>
        <v>DMTH6016LK3</v>
      </c>
      <c r="B1774" t="str">
        <f>Hyperlink("https://www.diodes.com/assets/Datasheets/DMTH6016LK3.pdf","DMTH6016LK3 Datasheet")</f>
        <v>DMTH6016LK3 Datasheet</v>
      </c>
      <c r="C1774" t="s">
        <v>766</v>
      </c>
      <c r="D1774" t="s">
        <v>25</v>
      </c>
      <c r="E1774" t="s">
        <v>26</v>
      </c>
      <c r="F1774" t="s">
        <v>27</v>
      </c>
      <c r="G1774" t="s">
        <v>28</v>
      </c>
      <c r="H1774">
        <v>60</v>
      </c>
      <c r="I1774">
        <v>20</v>
      </c>
      <c r="J1774">
        <v>10.8</v>
      </c>
      <c r="K1774">
        <v>46.9</v>
      </c>
      <c r="L1774">
        <v>3.2</v>
      </c>
      <c r="M1774">
        <v>60</v>
      </c>
      <c r="N1774">
        <v>17</v>
      </c>
      <c r="O1774">
        <v>24</v>
      </c>
      <c r="S1774">
        <v>3</v>
      </c>
      <c r="T1774">
        <v>8.4</v>
      </c>
      <c r="U1774">
        <v>17</v>
      </c>
      <c r="V1774">
        <v>864</v>
      </c>
      <c r="W1774">
        <v>30</v>
      </c>
      <c r="X1774" t="s">
        <v>507</v>
      </c>
    </row>
    <row r="1775" spans="1:24">
      <c r="A1775" t="str">
        <f>Hyperlink("https://www.diodes.com/part/view/DMTH6016LK3Q","DMTH6016LK3Q")</f>
        <v>DMTH6016LK3Q</v>
      </c>
      <c r="B1775" t="str">
        <f>Hyperlink("https://www.diodes.com/assets/Datasheets/DMTH6016LK3Q.pdf","DMTH6016LK3Q Datasheet")</f>
        <v>DMTH6016LK3Q Datasheet</v>
      </c>
      <c r="C1775" t="s">
        <v>766</v>
      </c>
      <c r="D1775" t="s">
        <v>25</v>
      </c>
      <c r="E1775" t="s">
        <v>33</v>
      </c>
      <c r="F1775" t="s">
        <v>27</v>
      </c>
      <c r="G1775" t="s">
        <v>28</v>
      </c>
      <c r="H1775">
        <v>60</v>
      </c>
      <c r="I1775">
        <v>20</v>
      </c>
      <c r="J1775">
        <v>10.8</v>
      </c>
      <c r="K1775">
        <v>46.9</v>
      </c>
      <c r="L1775">
        <v>3.2</v>
      </c>
      <c r="M1775">
        <v>60</v>
      </c>
      <c r="N1775">
        <v>17</v>
      </c>
      <c r="O1775">
        <v>24</v>
      </c>
      <c r="S1775">
        <v>3</v>
      </c>
      <c r="T1775">
        <v>8.4</v>
      </c>
      <c r="U1775">
        <v>17</v>
      </c>
      <c r="V1775">
        <v>864</v>
      </c>
      <c r="W1775">
        <v>30</v>
      </c>
      <c r="X1775" t="s">
        <v>507</v>
      </c>
    </row>
    <row r="1776" spans="1:24">
      <c r="A1776" t="str">
        <f>Hyperlink("https://www.diodes.com/part/view/DMTH6016LPD","DMTH6016LPD")</f>
        <v>DMTH6016LPD</v>
      </c>
      <c r="B1776" t="str">
        <f>Hyperlink("https://www.diodes.com/assets/Datasheets/DMTH6016LPD.pdf","DMTH6016LPD Datasheet")</f>
        <v>DMTH6016LPD Datasheet</v>
      </c>
      <c r="C1776" t="s">
        <v>34</v>
      </c>
      <c r="D1776" t="s">
        <v>25</v>
      </c>
      <c r="E1776" t="s">
        <v>26</v>
      </c>
      <c r="F1776" t="s">
        <v>35</v>
      </c>
      <c r="G1776" t="s">
        <v>28</v>
      </c>
      <c r="H1776">
        <v>60</v>
      </c>
      <c r="I1776">
        <v>20</v>
      </c>
      <c r="J1776">
        <v>9.2</v>
      </c>
      <c r="K1776">
        <v>33.2</v>
      </c>
      <c r="L1776">
        <v>2.5</v>
      </c>
      <c r="M1776">
        <v>37.5</v>
      </c>
      <c r="N1776">
        <v>19</v>
      </c>
      <c r="O1776">
        <v>28</v>
      </c>
      <c r="S1776">
        <v>2.5</v>
      </c>
      <c r="T1776">
        <v>8.4</v>
      </c>
      <c r="U1776">
        <v>17</v>
      </c>
      <c r="V1776">
        <v>864</v>
      </c>
      <c r="W1776">
        <v>30</v>
      </c>
      <c r="X1776" t="s">
        <v>93</v>
      </c>
    </row>
    <row r="1777" spans="1:24">
      <c r="A1777" t="str">
        <f>Hyperlink("https://www.diodes.com/part/view/DMTH6016LPDQ","DMTH6016LPDQ")</f>
        <v>DMTH6016LPDQ</v>
      </c>
      <c r="B1777" t="str">
        <f>Hyperlink("https://www.diodes.com/assets/Datasheets/DMTH6016LPDQ.pdf","DMTH6016LPDQ Datasheet")</f>
        <v>DMTH6016LPDQ Datasheet</v>
      </c>
      <c r="C1777" t="s">
        <v>769</v>
      </c>
      <c r="D1777" t="s">
        <v>25</v>
      </c>
      <c r="E1777" t="s">
        <v>33</v>
      </c>
      <c r="F1777" t="s">
        <v>35</v>
      </c>
      <c r="G1777" t="s">
        <v>28</v>
      </c>
      <c r="H1777">
        <v>60</v>
      </c>
      <c r="I1777">
        <v>20</v>
      </c>
      <c r="J1777">
        <v>9.2</v>
      </c>
      <c r="K1777">
        <v>33.2</v>
      </c>
      <c r="L1777">
        <v>2.5</v>
      </c>
      <c r="M1777">
        <v>37.5</v>
      </c>
      <c r="N1777">
        <v>19</v>
      </c>
      <c r="O1777">
        <v>28</v>
      </c>
      <c r="S1777">
        <v>2.5</v>
      </c>
      <c r="T1777">
        <v>8.4</v>
      </c>
      <c r="U1777">
        <v>17</v>
      </c>
      <c r="V1777">
        <v>864</v>
      </c>
      <c r="W1777">
        <v>30</v>
      </c>
      <c r="X1777" t="s">
        <v>93</v>
      </c>
    </row>
    <row r="1778" spans="1:24">
      <c r="A1778" t="str">
        <f>Hyperlink("https://www.diodes.com/part/view/DMTH6016LPDWQ","DMTH6016LPDWQ")</f>
        <v>DMTH6016LPDWQ</v>
      </c>
      <c r="B1778" t="str">
        <f>Hyperlink("https://www.diodes.com/assets/Datasheets/DMTH6016LPDWQ.pdf","DMTH6016LPDWQ Datasheet")</f>
        <v>DMTH6016LPDWQ Datasheet</v>
      </c>
      <c r="C1778" t="s">
        <v>1011</v>
      </c>
      <c r="D1778" t="s">
        <v>25</v>
      </c>
      <c r="E1778" t="s">
        <v>33</v>
      </c>
      <c r="F1778" t="s">
        <v>27</v>
      </c>
      <c r="G1778" t="s">
        <v>28</v>
      </c>
      <c r="H1778">
        <v>60</v>
      </c>
      <c r="I1778">
        <v>20</v>
      </c>
      <c r="K1778">
        <v>33.2</v>
      </c>
      <c r="L1778">
        <v>2.5</v>
      </c>
      <c r="M1778">
        <v>37.5</v>
      </c>
      <c r="N1778">
        <v>19</v>
      </c>
      <c r="R1778">
        <v>1</v>
      </c>
      <c r="S1778">
        <v>2.5</v>
      </c>
      <c r="U1778">
        <v>17</v>
      </c>
      <c r="V1778">
        <v>864</v>
      </c>
      <c r="W1778">
        <v>30</v>
      </c>
      <c r="X1778" t="s">
        <v>115</v>
      </c>
    </row>
    <row r="1779" spans="1:24">
      <c r="A1779" t="str">
        <f>Hyperlink("https://www.diodes.com/part/view/DMTH6016LPS","DMTH6016LPS")</f>
        <v>DMTH6016LPS</v>
      </c>
      <c r="B1779" t="str">
        <f>Hyperlink("https://www.diodes.com/assets/Datasheets/DMTH6016LPS.pdf","DMTH6016LPS Datasheet")</f>
        <v>DMTH6016LPS Datasheet</v>
      </c>
      <c r="C1779" t="s">
        <v>721</v>
      </c>
      <c r="D1779" t="s">
        <v>25</v>
      </c>
      <c r="E1779" t="s">
        <v>26</v>
      </c>
      <c r="F1779" t="s">
        <v>27</v>
      </c>
      <c r="G1779" t="s">
        <v>28</v>
      </c>
      <c r="H1779">
        <v>60</v>
      </c>
      <c r="I1779">
        <v>20</v>
      </c>
      <c r="J1779">
        <v>10.6</v>
      </c>
      <c r="K1779">
        <v>37.1</v>
      </c>
      <c r="L1779">
        <v>3</v>
      </c>
      <c r="N1779">
        <v>16</v>
      </c>
      <c r="O1779">
        <v>24</v>
      </c>
      <c r="S1779">
        <v>2.5</v>
      </c>
      <c r="T1779">
        <v>8.4</v>
      </c>
      <c r="U1779">
        <v>17</v>
      </c>
      <c r="V1779">
        <v>864</v>
      </c>
      <c r="W1779">
        <v>30</v>
      </c>
      <c r="X1779" t="s">
        <v>617</v>
      </c>
    </row>
    <row r="1780" spans="1:24">
      <c r="A1780" t="str">
        <f>Hyperlink("https://www.diodes.com/part/view/DMTH6016LPSQ","DMTH6016LPSQ")</f>
        <v>DMTH6016LPSQ</v>
      </c>
      <c r="B1780" t="str">
        <f>Hyperlink("https://www.diodes.com/assets/Datasheets/DMTH6016LPSQ.pdf","DMTH6016LPSQ Datasheet")</f>
        <v>DMTH6016LPSQ Datasheet</v>
      </c>
      <c r="C1780" t="s">
        <v>766</v>
      </c>
      <c r="D1780" t="s">
        <v>25</v>
      </c>
      <c r="E1780" t="s">
        <v>33</v>
      </c>
      <c r="F1780" t="s">
        <v>27</v>
      </c>
      <c r="G1780" t="s">
        <v>28</v>
      </c>
      <c r="H1780">
        <v>60</v>
      </c>
      <c r="I1780">
        <v>20</v>
      </c>
      <c r="J1780">
        <v>10.6</v>
      </c>
      <c r="K1780">
        <v>37</v>
      </c>
      <c r="L1780">
        <v>2.6</v>
      </c>
      <c r="M1780">
        <v>37.5</v>
      </c>
      <c r="N1780">
        <v>16</v>
      </c>
      <c r="O1780">
        <v>24</v>
      </c>
      <c r="S1780">
        <v>2.5</v>
      </c>
      <c r="T1780">
        <v>8.4</v>
      </c>
      <c r="U1780">
        <v>17</v>
      </c>
      <c r="V1780">
        <v>864</v>
      </c>
      <c r="W1780">
        <v>30</v>
      </c>
      <c r="X1780" t="s">
        <v>617</v>
      </c>
    </row>
    <row r="1781" spans="1:24">
      <c r="A1781" t="str">
        <f>Hyperlink("https://www.diodes.com/part/view/DMTH6016LPSWQ","DMTH6016LPSWQ")</f>
        <v>DMTH6016LPSWQ</v>
      </c>
      <c r="B1781" t="str">
        <f>Hyperlink("https://www.diodes.com/assets/Datasheets/DMTH6016LPSWQ.pdf","DMTH6016LPSWQ Datasheet")</f>
        <v>DMTH6016LPSWQ Datasheet</v>
      </c>
      <c r="C1781" t="s">
        <v>767</v>
      </c>
      <c r="D1781" t="s">
        <v>25</v>
      </c>
      <c r="E1781" t="s">
        <v>33</v>
      </c>
      <c r="F1781" t="s">
        <v>27</v>
      </c>
      <c r="G1781" t="s">
        <v>28</v>
      </c>
      <c r="H1781">
        <v>60</v>
      </c>
      <c r="I1781">
        <v>20</v>
      </c>
      <c r="K1781">
        <v>37.1</v>
      </c>
      <c r="L1781">
        <v>3</v>
      </c>
      <c r="M1781">
        <v>37.5</v>
      </c>
      <c r="N1781">
        <v>16</v>
      </c>
      <c r="R1781">
        <v>1</v>
      </c>
      <c r="S1781">
        <v>2.5</v>
      </c>
      <c r="U1781">
        <v>17</v>
      </c>
      <c r="V1781">
        <v>864</v>
      </c>
      <c r="W1781">
        <v>30</v>
      </c>
      <c r="X1781" t="s">
        <v>757</v>
      </c>
    </row>
    <row r="1782" spans="1:24">
      <c r="A1782" t="str">
        <f>Hyperlink("https://www.diodes.com/part/view/DMTH6016LSD","DMTH6016LSD")</f>
        <v>DMTH6016LSD</v>
      </c>
      <c r="B1782" t="str">
        <f>Hyperlink("https://www.diodes.com/assets/Datasheets/DMTH6016LSD.pdf","DMTH6016LSD Datasheet")</f>
        <v>DMTH6016LSD Datasheet</v>
      </c>
      <c r="C1782" t="s">
        <v>38</v>
      </c>
      <c r="D1782" t="s">
        <v>25</v>
      </c>
      <c r="E1782" t="s">
        <v>26</v>
      </c>
      <c r="F1782" t="s">
        <v>35</v>
      </c>
      <c r="G1782" t="s">
        <v>28</v>
      </c>
      <c r="H1782">
        <v>60</v>
      </c>
      <c r="I1782">
        <v>20</v>
      </c>
      <c r="J1782">
        <v>7.6</v>
      </c>
      <c r="L1782">
        <v>1.9</v>
      </c>
      <c r="N1782">
        <v>19.5</v>
      </c>
      <c r="O1782">
        <v>28</v>
      </c>
      <c r="S1782">
        <v>2.5</v>
      </c>
      <c r="T1782">
        <v>8.4</v>
      </c>
      <c r="U1782">
        <v>17</v>
      </c>
      <c r="V1782">
        <v>864</v>
      </c>
      <c r="W1782">
        <v>30</v>
      </c>
      <c r="X1782" t="s">
        <v>155</v>
      </c>
    </row>
    <row r="1783" spans="1:24">
      <c r="A1783" t="str">
        <f>Hyperlink("https://www.diodes.com/part/view/DMTH6016LSDQ","DMTH6016LSDQ")</f>
        <v>DMTH6016LSDQ</v>
      </c>
      <c r="B1783" t="str">
        <f>Hyperlink("https://www.diodes.com/assets/Datasheets/DMTH6016LSDQ.pdf","DMTH6016LSDQ Datasheet")</f>
        <v>DMTH6016LSDQ Datasheet</v>
      </c>
      <c r="C1783" t="s">
        <v>769</v>
      </c>
      <c r="D1783" t="s">
        <v>25</v>
      </c>
      <c r="E1783" t="s">
        <v>33</v>
      </c>
      <c r="F1783" t="s">
        <v>35</v>
      </c>
      <c r="G1783" t="s">
        <v>28</v>
      </c>
      <c r="H1783">
        <v>60</v>
      </c>
      <c r="I1783">
        <v>20</v>
      </c>
      <c r="J1783">
        <v>7.6</v>
      </c>
      <c r="L1783">
        <v>1.9</v>
      </c>
      <c r="N1783">
        <v>19.5</v>
      </c>
      <c r="O1783">
        <v>28</v>
      </c>
      <c r="S1783">
        <v>2.5</v>
      </c>
      <c r="T1783">
        <v>8.4</v>
      </c>
      <c r="U1783">
        <v>17</v>
      </c>
      <c r="V1783">
        <v>864</v>
      </c>
      <c r="W1783">
        <v>30</v>
      </c>
      <c r="X1783" t="s">
        <v>155</v>
      </c>
    </row>
    <row r="1784" spans="1:24">
      <c r="A1784" t="str">
        <f>Hyperlink("https://www.diodes.com/part/view/DMTH61M5SPSW","DMTH61M5SPSW")</f>
        <v>DMTH61M5SPSW</v>
      </c>
      <c r="B1784" t="str">
        <f>Hyperlink("https://www.diodes.com/assets/Datasheets/DMTH61M5SPSW.pdf","DMTH61M5SPSW Datasheet")</f>
        <v>DMTH61M5SPSW Datasheet</v>
      </c>
      <c r="C1784" t="s">
        <v>765</v>
      </c>
      <c r="D1784" t="s">
        <v>28</v>
      </c>
      <c r="E1784" t="s">
        <v>26</v>
      </c>
      <c r="F1784" t="s">
        <v>27</v>
      </c>
      <c r="G1784" t="s">
        <v>28</v>
      </c>
      <c r="H1784">
        <v>60</v>
      </c>
      <c r="I1784">
        <v>20</v>
      </c>
      <c r="K1784">
        <v>225</v>
      </c>
      <c r="L1784">
        <v>3.2</v>
      </c>
      <c r="M1784">
        <v>167</v>
      </c>
      <c r="N1784">
        <v>1.5</v>
      </c>
      <c r="S1784">
        <v>4</v>
      </c>
      <c r="U1784">
        <v>130.6</v>
      </c>
      <c r="V1784">
        <v>8306</v>
      </c>
      <c r="W1784">
        <v>30</v>
      </c>
      <c r="X1784" t="s">
        <v>617</v>
      </c>
    </row>
    <row r="1785" spans="1:24">
      <c r="A1785" t="str">
        <f>Hyperlink("https://www.diodes.com/part/view/DMTH61M5SPSWQ","DMTH61M5SPSWQ")</f>
        <v>DMTH61M5SPSWQ</v>
      </c>
      <c r="B1785" t="str">
        <f>Hyperlink("https://www.diodes.com/assets/Datasheets/DMTH61M5SPSWQ.pdf","DMTH61M5SPSWQ Datasheet")</f>
        <v>DMTH61M5SPSWQ Datasheet</v>
      </c>
      <c r="C1785" t="s">
        <v>765</v>
      </c>
      <c r="D1785" t="s">
        <v>25</v>
      </c>
      <c r="E1785" t="s">
        <v>33</v>
      </c>
      <c r="F1785" t="s">
        <v>27</v>
      </c>
      <c r="G1785" t="s">
        <v>28</v>
      </c>
      <c r="H1785">
        <v>60</v>
      </c>
      <c r="I1785">
        <v>20</v>
      </c>
      <c r="K1785">
        <v>225</v>
      </c>
      <c r="L1785">
        <v>3.2</v>
      </c>
      <c r="M1785">
        <v>167</v>
      </c>
      <c r="N1785">
        <v>1.5</v>
      </c>
      <c r="S1785">
        <v>4</v>
      </c>
      <c r="U1785">
        <v>130.6</v>
      </c>
      <c r="V1785">
        <v>8306</v>
      </c>
      <c r="W1785">
        <v>30</v>
      </c>
      <c r="X1785" t="s">
        <v>617</v>
      </c>
    </row>
    <row r="1786" spans="1:24">
      <c r="A1786" t="str">
        <f>Hyperlink("https://www.diodes.com/part/view/DMTH61M8LPS","DMTH61M8LPS")</f>
        <v>DMTH61M8LPS</v>
      </c>
      <c r="B1786" t="str">
        <f>Hyperlink("https://www.diodes.com/assets/Datasheets/DMTH61M8LPS.pdf","DMTH61M8LPS Datasheet")</f>
        <v>DMTH61M8LPS Datasheet</v>
      </c>
      <c r="C1786" t="s">
        <v>765</v>
      </c>
      <c r="D1786" t="s">
        <v>28</v>
      </c>
      <c r="E1786" t="s">
        <v>26</v>
      </c>
      <c r="F1786" t="s">
        <v>27</v>
      </c>
      <c r="G1786" t="s">
        <v>28</v>
      </c>
      <c r="H1786">
        <v>60</v>
      </c>
      <c r="I1786">
        <v>20</v>
      </c>
      <c r="K1786">
        <v>225</v>
      </c>
      <c r="L1786">
        <v>3.2</v>
      </c>
      <c r="M1786">
        <v>187.5</v>
      </c>
      <c r="N1786">
        <v>1.6</v>
      </c>
      <c r="O1786">
        <v>2.8</v>
      </c>
      <c r="S1786">
        <v>3</v>
      </c>
      <c r="T1786">
        <v>53.3</v>
      </c>
      <c r="U1786">
        <v>115</v>
      </c>
      <c r="V1786">
        <v>8320</v>
      </c>
      <c r="W1786">
        <v>30</v>
      </c>
      <c r="X1786" t="s">
        <v>617</v>
      </c>
    </row>
    <row r="1787" spans="1:24">
      <c r="A1787" t="str">
        <f>Hyperlink("https://www.diodes.com/part/view/DMTH61M8LPSQ","DMTH61M8LPSQ")</f>
        <v>DMTH61M8LPSQ</v>
      </c>
      <c r="B1787" t="str">
        <f>Hyperlink("https://www.diodes.com/assets/Datasheets/DMTH61M8LPSQ.pdf","DMTH61M8LPSQ Datasheet")</f>
        <v>DMTH61M8LPSQ Datasheet</v>
      </c>
      <c r="C1787" t="s">
        <v>765</v>
      </c>
      <c r="D1787" t="s">
        <v>25</v>
      </c>
      <c r="E1787" t="s">
        <v>33</v>
      </c>
      <c r="F1787" t="s">
        <v>27</v>
      </c>
      <c r="G1787" t="s">
        <v>28</v>
      </c>
      <c r="H1787">
        <v>60</v>
      </c>
      <c r="I1787">
        <v>20</v>
      </c>
      <c r="K1787">
        <v>225</v>
      </c>
      <c r="L1787">
        <v>3.2</v>
      </c>
      <c r="M1787">
        <v>187.5</v>
      </c>
      <c r="N1787">
        <v>1.6</v>
      </c>
      <c r="O1787">
        <v>2.8</v>
      </c>
      <c r="S1787">
        <v>3</v>
      </c>
      <c r="T1787">
        <v>53.3</v>
      </c>
      <c r="U1787">
        <v>115.5</v>
      </c>
      <c r="V1787">
        <v>8320</v>
      </c>
      <c r="W1787">
        <v>30</v>
      </c>
      <c r="X1787" t="s">
        <v>617</v>
      </c>
    </row>
    <row r="1788" spans="1:24">
      <c r="A1788" t="str">
        <f>Hyperlink("https://www.diodes.com/part/view/DMTH61M8SPS","DMTH61M8SPS")</f>
        <v>DMTH61M8SPS</v>
      </c>
      <c r="B1788" t="str">
        <f>Hyperlink("https://www.diodes.com/assets/Datasheets/DMTH61M8SPS.pdf","DMTH61M8SPS Datasheet")</f>
        <v>DMTH61M8SPS Datasheet</v>
      </c>
      <c r="C1788" t="s">
        <v>765</v>
      </c>
      <c r="D1788" t="s">
        <v>25</v>
      </c>
      <c r="E1788" t="s">
        <v>26</v>
      </c>
      <c r="F1788" t="s">
        <v>27</v>
      </c>
      <c r="G1788" t="s">
        <v>28</v>
      </c>
      <c r="H1788">
        <v>60</v>
      </c>
      <c r="I1788">
        <v>20</v>
      </c>
      <c r="K1788">
        <v>215</v>
      </c>
      <c r="L1788">
        <v>3.2</v>
      </c>
      <c r="M1788">
        <v>167</v>
      </c>
      <c r="N1788">
        <v>1.6</v>
      </c>
      <c r="S1788">
        <v>4</v>
      </c>
      <c r="U1788">
        <v>130.6</v>
      </c>
      <c r="V1788">
        <v>8306</v>
      </c>
      <c r="W1788">
        <v>30</v>
      </c>
      <c r="X1788" t="s">
        <v>617</v>
      </c>
    </row>
    <row r="1789" spans="1:24">
      <c r="A1789" t="str">
        <f>Hyperlink("https://www.diodes.com/part/view/DMTH61M8SPSQ","DMTH61M8SPSQ")</f>
        <v>DMTH61M8SPSQ</v>
      </c>
      <c r="B1789" t="str">
        <f>Hyperlink("https://www.diodes.com/assets/Datasheets/DMTH61M8SPSQ.pdf","DMTH61M8SPSQ Datasheet")</f>
        <v>DMTH61M8SPSQ Datasheet</v>
      </c>
      <c r="C1789" t="s">
        <v>765</v>
      </c>
      <c r="D1789" t="s">
        <v>25</v>
      </c>
      <c r="E1789" t="s">
        <v>33</v>
      </c>
      <c r="F1789" t="s">
        <v>27</v>
      </c>
      <c r="G1789" t="s">
        <v>28</v>
      </c>
      <c r="H1789">
        <v>60</v>
      </c>
      <c r="I1789">
        <v>20</v>
      </c>
      <c r="K1789">
        <v>215</v>
      </c>
      <c r="L1789">
        <v>3.2</v>
      </c>
      <c r="M1789">
        <v>167</v>
      </c>
      <c r="N1789">
        <v>1.6</v>
      </c>
      <c r="S1789">
        <v>4</v>
      </c>
      <c r="U1789">
        <v>130.6</v>
      </c>
      <c r="V1789">
        <v>8306</v>
      </c>
      <c r="W1789">
        <v>30</v>
      </c>
      <c r="X1789" t="s">
        <v>617</v>
      </c>
    </row>
    <row r="1790" spans="1:24">
      <c r="A1790" t="str">
        <f>Hyperlink("https://www.diodes.com/part/view/DMTH62M7SPSW","DMTH62M7SPSW")</f>
        <v>DMTH62M7SPSW</v>
      </c>
      <c r="B1790" t="str">
        <f>Hyperlink("https://www.diodes.com/assets/Datasheets/DMTH62M7SPSW.pdf","DMTH62M7SPSW Datasheet")</f>
        <v>DMTH62M7SPSW Datasheet</v>
      </c>
      <c r="C1790" t="s">
        <v>767</v>
      </c>
      <c r="D1790" t="s">
        <v>28</v>
      </c>
      <c r="E1790" t="s">
        <v>26</v>
      </c>
      <c r="F1790" t="s">
        <v>27</v>
      </c>
      <c r="G1790" t="s">
        <v>28</v>
      </c>
      <c r="H1790">
        <v>60</v>
      </c>
      <c r="I1790">
        <v>20</v>
      </c>
      <c r="K1790">
        <v>170</v>
      </c>
      <c r="L1790">
        <v>3</v>
      </c>
      <c r="M1790">
        <v>150</v>
      </c>
      <c r="N1790">
        <v>2.7</v>
      </c>
      <c r="R1790">
        <v>2</v>
      </c>
      <c r="S1790">
        <v>4</v>
      </c>
      <c r="U1790">
        <v>68.7</v>
      </c>
      <c r="V1790">
        <v>4973</v>
      </c>
      <c r="W1790">
        <v>30</v>
      </c>
      <c r="X1790" t="s">
        <v>757</v>
      </c>
    </row>
    <row r="1791" spans="1:24">
      <c r="A1791" t="str">
        <f>Hyperlink("https://www.diodes.com/part/view/DMTH62M7SPSWQ","DMTH62M7SPSWQ")</f>
        <v>DMTH62M7SPSWQ</v>
      </c>
      <c r="B1791" t="str">
        <f>Hyperlink("https://www.diodes.com/assets/Datasheets/DMTH62M7SPSWQ.pdf","DMTH62M7SPSWQ Datasheet")</f>
        <v>DMTH62M7SPSWQ Datasheet</v>
      </c>
      <c r="C1791" t="s">
        <v>767</v>
      </c>
      <c r="D1791" t="s">
        <v>25</v>
      </c>
      <c r="E1791" t="s">
        <v>33</v>
      </c>
      <c r="F1791" t="s">
        <v>27</v>
      </c>
      <c r="G1791" t="s">
        <v>28</v>
      </c>
      <c r="H1791">
        <v>60</v>
      </c>
      <c r="I1791">
        <v>20</v>
      </c>
      <c r="K1791">
        <v>170</v>
      </c>
      <c r="L1791">
        <v>3</v>
      </c>
      <c r="M1791">
        <v>150</v>
      </c>
      <c r="N1791">
        <v>2.7</v>
      </c>
      <c r="R1791">
        <v>2</v>
      </c>
      <c r="S1791">
        <v>4</v>
      </c>
      <c r="U1791">
        <v>68.7</v>
      </c>
      <c r="V1791">
        <v>4973</v>
      </c>
      <c r="W1791">
        <v>30</v>
      </c>
      <c r="X1791" t="s">
        <v>757</v>
      </c>
    </row>
    <row r="1792" spans="1:24">
      <c r="A1792" t="str">
        <f>Hyperlink("https://www.diodes.com/part/view/DMTH62M8LPS","DMTH62M8LPS")</f>
        <v>DMTH62M8LPS</v>
      </c>
      <c r="B1792" t="str">
        <f>Hyperlink("https://www.diodes.com/assets/Datasheets/DMTH62M8LPS.pdf","DMTH62M8LPS Datasheet")</f>
        <v>DMTH62M8LPS Datasheet</v>
      </c>
      <c r="C1792" t="s">
        <v>765</v>
      </c>
      <c r="D1792" t="s">
        <v>28</v>
      </c>
      <c r="E1792" t="s">
        <v>26</v>
      </c>
      <c r="F1792" t="s">
        <v>27</v>
      </c>
      <c r="G1792" t="s">
        <v>28</v>
      </c>
      <c r="H1792">
        <v>60</v>
      </c>
      <c r="I1792">
        <v>20</v>
      </c>
      <c r="K1792">
        <v>100</v>
      </c>
      <c r="L1792">
        <v>3.13</v>
      </c>
      <c r="M1792">
        <v>115</v>
      </c>
      <c r="N1792">
        <v>2.8</v>
      </c>
      <c r="O1792">
        <v>4.4</v>
      </c>
      <c r="S1792">
        <v>3</v>
      </c>
      <c r="T1792">
        <v>47.4</v>
      </c>
      <c r="U1792">
        <v>96.3</v>
      </c>
      <c r="V1792">
        <v>4515</v>
      </c>
      <c r="W1792">
        <v>30</v>
      </c>
      <c r="X1792" t="s">
        <v>617</v>
      </c>
    </row>
    <row r="1793" spans="1:24">
      <c r="A1793" t="str">
        <f>Hyperlink("https://www.diodes.com/part/view/DMTH62M8SPS","DMTH62M8SPS")</f>
        <v>DMTH62M8SPS</v>
      </c>
      <c r="B1793" t="str">
        <f>Hyperlink("https://www.diodes.com/assets/Datasheets/DMTH62M8SPS.pdf","DMTH62M8SPS Datasheet")</f>
        <v>DMTH62M8SPS Datasheet</v>
      </c>
      <c r="C1793" t="s">
        <v>765</v>
      </c>
      <c r="D1793" t="s">
        <v>28</v>
      </c>
      <c r="E1793" t="s">
        <v>26</v>
      </c>
      <c r="F1793" t="s">
        <v>27</v>
      </c>
      <c r="G1793" t="s">
        <v>28</v>
      </c>
      <c r="H1793">
        <v>60</v>
      </c>
      <c r="I1793">
        <v>20</v>
      </c>
      <c r="K1793">
        <v>100</v>
      </c>
      <c r="L1793">
        <v>3.2</v>
      </c>
      <c r="M1793">
        <v>125</v>
      </c>
      <c r="N1793">
        <v>2.8</v>
      </c>
      <c r="S1793">
        <v>4</v>
      </c>
      <c r="U1793">
        <v>95.4</v>
      </c>
      <c r="V1793">
        <v>4556</v>
      </c>
      <c r="W1793">
        <v>30</v>
      </c>
      <c r="X1793" t="s">
        <v>617</v>
      </c>
    </row>
    <row r="1794" spans="1:24">
      <c r="A1794" t="str">
        <f>Hyperlink("https://www.diodes.com/part/view/DMTH63M6LPSW","DMTH63M6LPSW")</f>
        <v>DMTH63M6LPSW</v>
      </c>
      <c r="B1794" t="str">
        <f>Hyperlink("https://www.diodes.com/assets/Datasheets/DMTH63M6LPSW.pdf","DMTH63M6LPSW Datasheet")</f>
        <v>DMTH63M6LPSW Datasheet</v>
      </c>
      <c r="C1794" t="s">
        <v>765</v>
      </c>
      <c r="D1794" t="s">
        <v>25</v>
      </c>
      <c r="E1794" t="s">
        <v>26</v>
      </c>
      <c r="F1794" t="s">
        <v>27</v>
      </c>
      <c r="G1794" t="s">
        <v>28</v>
      </c>
      <c r="H1794">
        <v>60</v>
      </c>
      <c r="I1794">
        <v>20</v>
      </c>
      <c r="K1794">
        <v>105</v>
      </c>
      <c r="L1794">
        <v>3.3</v>
      </c>
      <c r="M1794">
        <v>84.7</v>
      </c>
      <c r="N1794">
        <v>4.1</v>
      </c>
      <c r="O1794">
        <v>6.2</v>
      </c>
      <c r="R1794">
        <v>1.3</v>
      </c>
      <c r="S1794">
        <v>2.5</v>
      </c>
      <c r="T1794">
        <v>23</v>
      </c>
      <c r="U1794">
        <v>44.8</v>
      </c>
      <c r="V1794">
        <v>2479</v>
      </c>
      <c r="W1794">
        <v>30</v>
      </c>
      <c r="X1794" t="s">
        <v>757</v>
      </c>
    </row>
    <row r="1795" spans="1:24">
      <c r="A1795" t="str">
        <f>Hyperlink("https://www.diodes.com/part/view/DMTH63M6LPSWQ","DMTH63M6LPSWQ")</f>
        <v>DMTH63M6LPSWQ</v>
      </c>
      <c r="B1795" t="str">
        <f>Hyperlink("https://www.diodes.com/assets/Datasheets/DMTH63M6LPSWQ.pdf","DMTH63M6LPSWQ Datasheet")</f>
        <v>DMTH63M6LPSWQ Datasheet</v>
      </c>
      <c r="C1795" t="s">
        <v>765</v>
      </c>
      <c r="D1795" t="s">
        <v>25</v>
      </c>
      <c r="E1795" t="s">
        <v>33</v>
      </c>
      <c r="F1795" t="s">
        <v>27</v>
      </c>
      <c r="G1795" t="s">
        <v>28</v>
      </c>
      <c r="H1795">
        <v>60</v>
      </c>
      <c r="I1795">
        <v>20</v>
      </c>
      <c r="K1795">
        <v>105</v>
      </c>
      <c r="L1795">
        <v>3.3</v>
      </c>
      <c r="M1795">
        <v>84.7</v>
      </c>
      <c r="N1795">
        <v>4.1</v>
      </c>
      <c r="O1795">
        <v>6.2</v>
      </c>
      <c r="R1795">
        <v>1.3</v>
      </c>
      <c r="S1795">
        <v>2.5</v>
      </c>
      <c r="T1795">
        <v>23</v>
      </c>
      <c r="U1795">
        <v>44.8</v>
      </c>
      <c r="V1795">
        <v>2479</v>
      </c>
      <c r="W1795">
        <v>30</v>
      </c>
      <c r="X1795" t="s">
        <v>757</v>
      </c>
    </row>
    <row r="1796" spans="1:24">
      <c r="A1796" t="str">
        <f>Hyperlink("https://www.diodes.com/part/view/DMTH69M8LFVW","DMTH69M8LFVW")</f>
        <v>DMTH69M8LFVW</v>
      </c>
      <c r="B1796" t="str">
        <f>Hyperlink("https://www.diodes.com/assets/Datasheets/DMTH69M8LFVW.pdf","DMTH69M8LFVW Datasheet")</f>
        <v>DMTH69M8LFVW Datasheet</v>
      </c>
      <c r="C1796" t="s">
        <v>766</v>
      </c>
      <c r="D1796" t="s">
        <v>25</v>
      </c>
      <c r="E1796" t="s">
        <v>26</v>
      </c>
      <c r="F1796" t="s">
        <v>27</v>
      </c>
      <c r="G1796" t="s">
        <v>28</v>
      </c>
      <c r="H1796">
        <v>60</v>
      </c>
      <c r="I1796">
        <v>16</v>
      </c>
      <c r="J1796">
        <v>15.9</v>
      </c>
      <c r="K1796">
        <v>45.4</v>
      </c>
      <c r="L1796">
        <v>3.6</v>
      </c>
      <c r="M1796">
        <v>29.4</v>
      </c>
      <c r="N1796">
        <v>9.5</v>
      </c>
      <c r="O1796">
        <v>13.3</v>
      </c>
      <c r="S1796">
        <v>3</v>
      </c>
      <c r="T1796">
        <v>15.6</v>
      </c>
      <c r="U1796">
        <v>33.5</v>
      </c>
      <c r="V1796">
        <v>1925</v>
      </c>
      <c r="W1796">
        <v>30</v>
      </c>
      <c r="X1796" t="s">
        <v>529</v>
      </c>
    </row>
    <row r="1797" spans="1:24">
      <c r="A1797" t="str">
        <f>Hyperlink("https://www.diodes.com/part/view/DMTH69M8LFVWQ","DMTH69M8LFVWQ")</f>
        <v>DMTH69M8LFVWQ</v>
      </c>
      <c r="B1797" t="str">
        <f>Hyperlink("https://www.diodes.com/assets/Datasheets/DMTH69M8LFVWQ.pdf","DMTH69M8LFVWQ Datasheet")</f>
        <v>DMTH69M8LFVWQ Datasheet</v>
      </c>
      <c r="C1797" t="s">
        <v>766</v>
      </c>
      <c r="D1797" t="s">
        <v>25</v>
      </c>
      <c r="E1797" t="s">
        <v>33</v>
      </c>
      <c r="F1797" t="s">
        <v>27</v>
      </c>
      <c r="G1797" t="s">
        <v>28</v>
      </c>
      <c r="H1797">
        <v>60</v>
      </c>
      <c r="I1797">
        <v>16</v>
      </c>
      <c r="J1797">
        <v>15.9</v>
      </c>
      <c r="K1797">
        <v>45.4</v>
      </c>
      <c r="L1797">
        <v>3.6</v>
      </c>
      <c r="M1797">
        <v>29.4</v>
      </c>
      <c r="N1797">
        <v>9.5</v>
      </c>
      <c r="O1797">
        <v>13.3</v>
      </c>
      <c r="S1797">
        <v>3</v>
      </c>
      <c r="T1797">
        <v>15.6</v>
      </c>
      <c r="U1797">
        <v>33.5</v>
      </c>
      <c r="V1797">
        <v>1925</v>
      </c>
      <c r="W1797">
        <v>30</v>
      </c>
      <c r="X1797" t="s">
        <v>529</v>
      </c>
    </row>
    <row r="1798" spans="1:24">
      <c r="A1798" t="str">
        <f>Hyperlink("https://www.diodes.com/part/view/DMTH69M9LPDW","DMTH69M9LPDW")</f>
        <v>DMTH69M9LPDW</v>
      </c>
      <c r="B1798" t="str">
        <f>Hyperlink("https://www.diodes.com/assets/Datasheets/DMTH69M9LPDW.pdf","DMTH69M9LPDW Datasheet")</f>
        <v>DMTH69M9LPDW Datasheet</v>
      </c>
      <c r="C1798" t="s">
        <v>771</v>
      </c>
      <c r="D1798" t="s">
        <v>28</v>
      </c>
      <c r="E1798" t="s">
        <v>26</v>
      </c>
      <c r="F1798" t="s">
        <v>35</v>
      </c>
      <c r="G1798" t="s">
        <v>28</v>
      </c>
      <c r="H1798">
        <v>60</v>
      </c>
      <c r="I1798">
        <v>16</v>
      </c>
      <c r="K1798">
        <v>49</v>
      </c>
      <c r="L1798">
        <v>2.8</v>
      </c>
      <c r="M1798">
        <v>51.7</v>
      </c>
      <c r="N1798">
        <v>12.5</v>
      </c>
      <c r="R1798">
        <v>0.7</v>
      </c>
      <c r="S1798">
        <v>2</v>
      </c>
      <c r="U1798">
        <v>32</v>
      </c>
      <c r="V1798">
        <v>2178</v>
      </c>
      <c r="W1798">
        <v>30</v>
      </c>
      <c r="X1798" t="s">
        <v>115</v>
      </c>
    </row>
    <row r="1799" spans="1:24">
      <c r="A1799" t="str">
        <f>Hyperlink("https://www.diodes.com/part/view/DMTH69M9LPDWQ","DMTH69M9LPDWQ")</f>
        <v>DMTH69M9LPDWQ</v>
      </c>
      <c r="B1799" t="str">
        <f>Hyperlink("https://www.diodes.com/assets/Datasheets/DMTH69M9LPDWQ.pdf","DMTH69M9LPDWQ Datasheet")</f>
        <v>DMTH69M9LPDWQ Datasheet</v>
      </c>
      <c r="C1799" t="s">
        <v>771</v>
      </c>
      <c r="D1799" t="s">
        <v>25</v>
      </c>
      <c r="E1799" t="s">
        <v>33</v>
      </c>
      <c r="F1799" t="s">
        <v>35</v>
      </c>
      <c r="G1799" t="s">
        <v>28</v>
      </c>
      <c r="H1799">
        <v>60</v>
      </c>
      <c r="I1799">
        <v>16</v>
      </c>
      <c r="K1799">
        <v>49</v>
      </c>
      <c r="L1799">
        <v>2.8</v>
      </c>
      <c r="M1799" t="s">
        <v>1012</v>
      </c>
      <c r="N1799">
        <v>12.5</v>
      </c>
      <c r="R1799">
        <v>0.7</v>
      </c>
      <c r="S1799">
        <v>2</v>
      </c>
      <c r="U1799">
        <v>32</v>
      </c>
      <c r="V1799">
        <v>2178</v>
      </c>
      <c r="W1799">
        <v>30</v>
      </c>
      <c r="X1799" t="s">
        <v>115</v>
      </c>
    </row>
    <row r="1800" spans="1:24">
      <c r="A1800" t="str">
        <f>Hyperlink("https://www.diodes.com/part/view/DMTH8001STLW","DMTH8001STLW")</f>
        <v>DMTH8001STLW</v>
      </c>
      <c r="B1800" t="str">
        <f>Hyperlink("https://www.diodes.com/assets/Datasheets/DMTH8001STLW.pdf","DMTH8001STLW Datasheet")</f>
        <v>DMTH8001STLW Datasheet</v>
      </c>
      <c r="C1800" t="s">
        <v>1013</v>
      </c>
      <c r="D1800" t="s">
        <v>28</v>
      </c>
      <c r="E1800" t="s">
        <v>26</v>
      </c>
      <c r="F1800" t="s">
        <v>27</v>
      </c>
      <c r="G1800" t="s">
        <v>28</v>
      </c>
      <c r="H1800">
        <v>80</v>
      </c>
      <c r="I1800">
        <v>20</v>
      </c>
      <c r="K1800">
        <v>270</v>
      </c>
      <c r="L1800">
        <v>6</v>
      </c>
      <c r="M1800">
        <v>250</v>
      </c>
      <c r="N1800">
        <v>1.7</v>
      </c>
      <c r="S1800">
        <v>4</v>
      </c>
      <c r="U1800">
        <v>138</v>
      </c>
      <c r="V1800">
        <v>8894</v>
      </c>
      <c r="W1800">
        <v>50</v>
      </c>
      <c r="X1800" t="s">
        <v>987</v>
      </c>
    </row>
    <row r="1801" spans="1:24">
      <c r="A1801" t="str">
        <f>Hyperlink("https://www.diodes.com/part/view/DMTH8001STLWQ","DMTH8001STLWQ")</f>
        <v>DMTH8001STLWQ</v>
      </c>
      <c r="B1801" t="str">
        <f>Hyperlink("https://www.diodes.com/assets/Datasheets/DMTH8001STLWQ.pdf","DMTH8001STLWQ Datasheet")</f>
        <v>DMTH8001STLWQ Datasheet</v>
      </c>
      <c r="C1801" t="s">
        <v>1014</v>
      </c>
      <c r="D1801" t="s">
        <v>25</v>
      </c>
      <c r="E1801" t="s">
        <v>33</v>
      </c>
      <c r="F1801" t="s">
        <v>27</v>
      </c>
      <c r="G1801" t="s">
        <v>28</v>
      </c>
      <c r="H1801">
        <v>80</v>
      </c>
      <c r="I1801">
        <v>20</v>
      </c>
      <c r="K1801">
        <v>270</v>
      </c>
      <c r="L1801">
        <v>6</v>
      </c>
      <c r="M1801">
        <v>250</v>
      </c>
      <c r="N1801">
        <v>1.7</v>
      </c>
      <c r="S1801">
        <v>4</v>
      </c>
      <c r="U1801">
        <v>138</v>
      </c>
      <c r="V1801">
        <v>8894</v>
      </c>
      <c r="W1801">
        <v>50</v>
      </c>
      <c r="X1801" t="s">
        <v>987</v>
      </c>
    </row>
    <row r="1802" spans="1:24">
      <c r="A1802" t="str">
        <f>Hyperlink("https://www.diodes.com/part/view/DMTH8003SPS","DMTH8003SPS")</f>
        <v>DMTH8003SPS</v>
      </c>
      <c r="B1802" t="str">
        <f>Hyperlink("https://www.diodes.com/assets/Datasheets/DMTH8003SPS.pdf","DMTH8003SPS Datasheet")</f>
        <v>DMTH8003SPS Datasheet</v>
      </c>
      <c r="C1802" t="s">
        <v>1015</v>
      </c>
      <c r="D1802" t="s">
        <v>28</v>
      </c>
      <c r="E1802" t="s">
        <v>26</v>
      </c>
      <c r="F1802" t="s">
        <v>27</v>
      </c>
      <c r="G1802" t="s">
        <v>28</v>
      </c>
      <c r="H1802">
        <v>80</v>
      </c>
      <c r="I1802">
        <v>20</v>
      </c>
      <c r="K1802">
        <v>120</v>
      </c>
      <c r="L1802">
        <v>2.9</v>
      </c>
      <c r="M1802">
        <v>125</v>
      </c>
      <c r="N1802">
        <v>3.9</v>
      </c>
      <c r="O1802" t="s">
        <v>1016</v>
      </c>
      <c r="S1802">
        <v>4</v>
      </c>
      <c r="U1802">
        <v>124.3</v>
      </c>
      <c r="V1802">
        <v>8952</v>
      </c>
      <c r="W1802">
        <v>40</v>
      </c>
      <c r="X1802" t="s">
        <v>617</v>
      </c>
    </row>
    <row r="1803" spans="1:24">
      <c r="A1803" t="str">
        <f>Hyperlink("https://www.diodes.com/part/view/DMTH8003STLW","DMTH8003STLW")</f>
        <v>DMTH8003STLW</v>
      </c>
      <c r="B1803" t="str">
        <f>Hyperlink("https://www.diodes.com/assets/Datasheets/DMTH8003STLW.pdf","DMTH8003STLW Datasheet")</f>
        <v>DMTH8003STLW Datasheet</v>
      </c>
      <c r="C1803" t="s">
        <v>1017</v>
      </c>
      <c r="D1803" t="s">
        <v>25</v>
      </c>
      <c r="E1803" t="s">
        <v>26</v>
      </c>
      <c r="F1803" t="s">
        <v>27</v>
      </c>
      <c r="G1803" t="s">
        <v>28</v>
      </c>
      <c r="H1803">
        <v>80</v>
      </c>
      <c r="I1803">
        <v>20</v>
      </c>
      <c r="K1803">
        <v>173</v>
      </c>
      <c r="L1803">
        <v>5.6</v>
      </c>
      <c r="M1803">
        <v>150</v>
      </c>
      <c r="N1803">
        <v>2.5</v>
      </c>
      <c r="R1803">
        <v>2</v>
      </c>
      <c r="S1803">
        <v>4</v>
      </c>
      <c r="U1803">
        <v>124</v>
      </c>
      <c r="V1803">
        <v>8191</v>
      </c>
      <c r="W1803">
        <v>40</v>
      </c>
      <c r="X1803" t="s">
        <v>987</v>
      </c>
    </row>
    <row r="1804" spans="1:24">
      <c r="A1804" t="str">
        <f>Hyperlink("https://www.diodes.com/part/view/DMTH8003STLWQ","DMTH8003STLWQ")</f>
        <v>DMTH8003STLWQ</v>
      </c>
      <c r="B1804" t="str">
        <f>Hyperlink("https://www.diodes.com/assets/Datasheets/DMTH8003STLWQ.pdf","DMTH8003STLWQ Datasheet")</f>
        <v>DMTH8003STLWQ Datasheet</v>
      </c>
      <c r="C1804" t="s">
        <v>1018</v>
      </c>
      <c r="D1804" t="s">
        <v>25</v>
      </c>
      <c r="E1804" t="s">
        <v>33</v>
      </c>
      <c r="F1804" t="s">
        <v>27</v>
      </c>
      <c r="G1804" t="s">
        <v>28</v>
      </c>
      <c r="H1804">
        <v>80</v>
      </c>
      <c r="I1804">
        <v>20</v>
      </c>
      <c r="K1804">
        <v>173</v>
      </c>
      <c r="L1804">
        <v>5.6</v>
      </c>
      <c r="M1804">
        <v>150</v>
      </c>
      <c r="N1804">
        <v>2.5</v>
      </c>
      <c r="R1804">
        <v>2</v>
      </c>
      <c r="S1804">
        <v>4</v>
      </c>
      <c r="U1804">
        <v>124</v>
      </c>
      <c r="V1804">
        <v>8191</v>
      </c>
      <c r="W1804">
        <v>40</v>
      </c>
      <c r="X1804" t="s">
        <v>987</v>
      </c>
    </row>
    <row r="1805" spans="1:24">
      <c r="A1805" t="str">
        <f>Hyperlink("https://www.diodes.com/part/view/DMTH8004LPS","DMTH8004LPS")</f>
        <v>DMTH8004LPS</v>
      </c>
      <c r="B1805" t="str">
        <f>Hyperlink("https://www.diodes.com/assets/Datasheets/DMTH8004LPS.pdf","DMTH8004LPS Datasheet")</f>
        <v>DMTH8004LPS Datasheet</v>
      </c>
      <c r="C1805" t="s">
        <v>1019</v>
      </c>
      <c r="D1805" t="s">
        <v>28</v>
      </c>
      <c r="E1805" t="s">
        <v>26</v>
      </c>
      <c r="F1805" t="s">
        <v>27</v>
      </c>
      <c r="G1805" t="s">
        <v>28</v>
      </c>
      <c r="H1805">
        <v>80</v>
      </c>
      <c r="I1805">
        <v>20</v>
      </c>
      <c r="K1805">
        <v>100</v>
      </c>
      <c r="L1805">
        <v>2.9</v>
      </c>
      <c r="M1805">
        <v>125</v>
      </c>
      <c r="N1805">
        <v>3.8</v>
      </c>
      <c r="O1805">
        <v>5.3</v>
      </c>
      <c r="S1805">
        <v>2.8</v>
      </c>
      <c r="T1805">
        <v>43</v>
      </c>
      <c r="U1805">
        <v>81</v>
      </c>
      <c r="V1805">
        <v>4979</v>
      </c>
      <c r="W1805">
        <v>40</v>
      </c>
      <c r="X1805" t="s">
        <v>617</v>
      </c>
    </row>
    <row r="1806" spans="1:24">
      <c r="A1806" t="str">
        <f>Hyperlink("https://www.diodes.com/part/view/DMTH8008LFG","DMTH8008LFG")</f>
        <v>DMTH8008LFG</v>
      </c>
      <c r="B1806" t="str">
        <f>Hyperlink("https://www.diodes.com/assets/Datasheets/DMTH8008LFG.pdf","DMTH8008LFG Datasheet")</f>
        <v>DMTH8008LFG Datasheet</v>
      </c>
      <c r="C1806" t="s">
        <v>1015</v>
      </c>
      <c r="D1806" t="s">
        <v>25</v>
      </c>
      <c r="E1806" t="s">
        <v>26</v>
      </c>
      <c r="F1806" t="s">
        <v>27</v>
      </c>
      <c r="G1806" t="s">
        <v>28</v>
      </c>
      <c r="H1806">
        <v>80</v>
      </c>
      <c r="I1806">
        <v>20</v>
      </c>
      <c r="J1806">
        <v>17</v>
      </c>
      <c r="K1806">
        <v>70</v>
      </c>
      <c r="L1806">
        <v>2.8</v>
      </c>
      <c r="M1806">
        <v>50</v>
      </c>
      <c r="N1806">
        <v>6.9</v>
      </c>
      <c r="O1806">
        <v>10.4</v>
      </c>
      <c r="S1806">
        <v>2.5</v>
      </c>
      <c r="T1806">
        <v>18.3</v>
      </c>
      <c r="U1806">
        <v>37.7</v>
      </c>
      <c r="V1806">
        <v>2254</v>
      </c>
      <c r="W1806">
        <v>40</v>
      </c>
      <c r="X1806" t="s">
        <v>529</v>
      </c>
    </row>
    <row r="1807" spans="1:24">
      <c r="A1807" t="str">
        <f>Hyperlink("https://www.diodes.com/part/view/DMTH8008LFGQ","DMTH8008LFGQ")</f>
        <v>DMTH8008LFGQ</v>
      </c>
      <c r="B1807" t="str">
        <f>Hyperlink("https://www.diodes.com/assets/Datasheets/DMTH8008LFGQ.pdf","DMTH8008LFGQ Datasheet")</f>
        <v>DMTH8008LFGQ Datasheet</v>
      </c>
      <c r="C1807" t="s">
        <v>1015</v>
      </c>
      <c r="D1807" t="s">
        <v>25</v>
      </c>
      <c r="E1807" t="s">
        <v>33</v>
      </c>
      <c r="F1807" t="s">
        <v>27</v>
      </c>
      <c r="G1807" t="s">
        <v>28</v>
      </c>
      <c r="H1807">
        <v>80</v>
      </c>
      <c r="I1807">
        <v>20</v>
      </c>
      <c r="J1807">
        <v>17</v>
      </c>
      <c r="K1807">
        <v>70</v>
      </c>
      <c r="L1807">
        <v>2.8</v>
      </c>
      <c r="M1807">
        <v>50</v>
      </c>
      <c r="N1807">
        <v>6.9</v>
      </c>
      <c r="O1807">
        <v>10.4</v>
      </c>
      <c r="S1807">
        <v>2.5</v>
      </c>
      <c r="T1807">
        <v>18.3</v>
      </c>
      <c r="U1807">
        <v>37.7</v>
      </c>
      <c r="V1807">
        <v>2254</v>
      </c>
      <c r="W1807">
        <v>40</v>
      </c>
      <c r="X1807" t="s">
        <v>529</v>
      </c>
    </row>
    <row r="1808" spans="1:24">
      <c r="A1808" t="str">
        <f>Hyperlink("https://www.diodes.com/part/view/DMTH8008LPS","DMTH8008LPS")</f>
        <v>DMTH8008LPS</v>
      </c>
      <c r="B1808" t="str">
        <f>Hyperlink("https://www.diodes.com/assets/Datasheets/DMTH8008LPS.pdf","DMTH8008LPS Datasheet")</f>
        <v>DMTH8008LPS Datasheet</v>
      </c>
      <c r="C1808" t="s">
        <v>1019</v>
      </c>
      <c r="D1808" t="s">
        <v>25</v>
      </c>
      <c r="E1808" t="s">
        <v>26</v>
      </c>
      <c r="F1808" t="s">
        <v>27</v>
      </c>
      <c r="G1808" t="s">
        <v>28</v>
      </c>
      <c r="H1808">
        <v>80</v>
      </c>
      <c r="I1808">
        <v>20</v>
      </c>
      <c r="K1808">
        <v>91</v>
      </c>
      <c r="L1808">
        <v>3</v>
      </c>
      <c r="M1808">
        <v>100</v>
      </c>
      <c r="N1808">
        <v>7.8</v>
      </c>
      <c r="O1808">
        <v>11</v>
      </c>
      <c r="S1808">
        <v>2.8</v>
      </c>
      <c r="T1808">
        <v>21.7</v>
      </c>
      <c r="U1808">
        <v>41.2</v>
      </c>
      <c r="V1808">
        <v>2345</v>
      </c>
      <c r="W1808">
        <v>40</v>
      </c>
      <c r="X1808" t="s">
        <v>617</v>
      </c>
    </row>
    <row r="1809" spans="1:24">
      <c r="A1809" t="str">
        <f>Hyperlink("https://www.diodes.com/part/view/DMTH8008LPSQ","DMTH8008LPSQ")</f>
        <v>DMTH8008LPSQ</v>
      </c>
      <c r="B1809" t="str">
        <f>Hyperlink("https://www.diodes.com/assets/Datasheets/DMTH8008LPSQ.pdf","DMTH8008LPSQ Datasheet")</f>
        <v>DMTH8008LPSQ Datasheet</v>
      </c>
      <c r="C1809" t="s">
        <v>1019</v>
      </c>
      <c r="D1809" t="s">
        <v>25</v>
      </c>
      <c r="E1809" t="s">
        <v>33</v>
      </c>
      <c r="F1809" t="s">
        <v>27</v>
      </c>
      <c r="G1809" t="s">
        <v>28</v>
      </c>
      <c r="H1809">
        <v>80</v>
      </c>
      <c r="I1809">
        <v>20</v>
      </c>
      <c r="K1809">
        <v>91</v>
      </c>
      <c r="L1809">
        <v>3.4</v>
      </c>
      <c r="M1809">
        <v>100</v>
      </c>
      <c r="N1809">
        <v>7.8</v>
      </c>
      <c r="O1809">
        <v>11</v>
      </c>
      <c r="S1809">
        <v>2.8</v>
      </c>
      <c r="T1809">
        <v>21.7</v>
      </c>
      <c r="U1809">
        <v>41.2</v>
      </c>
      <c r="V1809">
        <v>2345</v>
      </c>
      <c r="W1809">
        <v>40</v>
      </c>
      <c r="X1809" t="s">
        <v>617</v>
      </c>
    </row>
    <row r="1810" spans="1:24">
      <c r="A1810" t="str">
        <f>Hyperlink("https://www.diodes.com/part/view/DMTH8008LPSWQ","DMTH8008LPSWQ")</f>
        <v>DMTH8008LPSWQ</v>
      </c>
      <c r="B1810" t="str">
        <f>Hyperlink("https://www.diodes.com/assets/Datasheets/DMTH8008LPSWQ.pdf","DMTH8008LPSWQ Datasheet")</f>
        <v>DMTH8008LPSWQ Datasheet</v>
      </c>
      <c r="C1810" t="s">
        <v>1020</v>
      </c>
      <c r="D1810" t="s">
        <v>25</v>
      </c>
      <c r="E1810" t="s">
        <v>33</v>
      </c>
      <c r="F1810" t="s">
        <v>27</v>
      </c>
      <c r="G1810" t="s">
        <v>28</v>
      </c>
      <c r="H1810">
        <v>80</v>
      </c>
      <c r="I1810">
        <v>20</v>
      </c>
      <c r="K1810">
        <v>91</v>
      </c>
      <c r="L1810">
        <v>3.4</v>
      </c>
      <c r="M1810">
        <v>100</v>
      </c>
      <c r="N1810">
        <v>7.8</v>
      </c>
      <c r="R1810">
        <v>1.3</v>
      </c>
      <c r="S1810">
        <v>2.8</v>
      </c>
      <c r="U1810">
        <v>41.2</v>
      </c>
      <c r="V1810">
        <v>2345</v>
      </c>
      <c r="W1810">
        <v>40</v>
      </c>
      <c r="X1810" t="s">
        <v>757</v>
      </c>
    </row>
    <row r="1811" spans="1:24">
      <c r="A1811" t="str">
        <f>Hyperlink("https://www.diodes.com/part/view/DMTH8008SFG","DMTH8008SFG")</f>
        <v>DMTH8008SFG</v>
      </c>
      <c r="B1811" t="str">
        <f>Hyperlink("https://www.diodes.com/assets/Datasheets/DMTH8008SFG.pdf","DMTH8008SFG Datasheet")</f>
        <v>DMTH8008SFG Datasheet</v>
      </c>
      <c r="C1811" t="s">
        <v>1015</v>
      </c>
      <c r="D1811" t="s">
        <v>25</v>
      </c>
      <c r="E1811" t="s">
        <v>26</v>
      </c>
      <c r="F1811" t="s">
        <v>27</v>
      </c>
      <c r="G1811" t="s">
        <v>28</v>
      </c>
      <c r="H1811">
        <v>80</v>
      </c>
      <c r="I1811">
        <v>20</v>
      </c>
      <c r="J1811">
        <v>17</v>
      </c>
      <c r="K1811">
        <v>68</v>
      </c>
      <c r="L1811">
        <v>3.2</v>
      </c>
      <c r="M1811">
        <v>50</v>
      </c>
      <c r="N1811">
        <v>7</v>
      </c>
      <c r="O1811" t="s">
        <v>1021</v>
      </c>
      <c r="S1811">
        <v>4</v>
      </c>
      <c r="U1811">
        <v>31.7</v>
      </c>
      <c r="V1811">
        <v>1945</v>
      </c>
      <c r="W1811">
        <v>40</v>
      </c>
      <c r="X1811" t="s">
        <v>529</v>
      </c>
    </row>
    <row r="1812" spans="1:24">
      <c r="A1812" t="str">
        <f>Hyperlink("https://www.diodes.com/part/view/DMTH8008SFGQ","DMTH8008SFGQ")</f>
        <v>DMTH8008SFGQ</v>
      </c>
      <c r="B1812" t="str">
        <f>Hyperlink("https://www.diodes.com/assets/Datasheets/DMTH8008SFGQ.pdf","DMTH8008SFGQ Datasheet")</f>
        <v>DMTH8008SFGQ Datasheet</v>
      </c>
      <c r="C1812" t="s">
        <v>1015</v>
      </c>
      <c r="D1812" t="s">
        <v>25</v>
      </c>
      <c r="E1812" t="s">
        <v>33</v>
      </c>
      <c r="F1812" t="s">
        <v>27</v>
      </c>
      <c r="G1812" t="s">
        <v>28</v>
      </c>
      <c r="H1812">
        <v>80</v>
      </c>
      <c r="I1812">
        <v>20</v>
      </c>
      <c r="J1812">
        <v>17</v>
      </c>
      <c r="K1812">
        <v>68</v>
      </c>
      <c r="L1812">
        <v>3.2</v>
      </c>
      <c r="M1812">
        <v>50</v>
      </c>
      <c r="N1812">
        <v>7</v>
      </c>
      <c r="S1812">
        <v>4</v>
      </c>
      <c r="U1812">
        <v>31.7</v>
      </c>
      <c r="V1812">
        <v>1945</v>
      </c>
      <c r="W1812">
        <v>40</v>
      </c>
      <c r="X1812" t="s">
        <v>529</v>
      </c>
    </row>
    <row r="1813" spans="1:24">
      <c r="A1813" t="str">
        <f>Hyperlink("https://www.diodes.com/part/view/DMTH8008SPS","DMTH8008SPS")</f>
        <v>DMTH8008SPS</v>
      </c>
      <c r="B1813" t="str">
        <f>Hyperlink("https://www.diodes.com/assets/Datasheets/DMTH8008SPS.pdf","DMTH8008SPS Datasheet")</f>
        <v>DMTH8008SPS Datasheet</v>
      </c>
      <c r="C1813" t="s">
        <v>1019</v>
      </c>
      <c r="D1813" t="s">
        <v>28</v>
      </c>
      <c r="E1813" t="s">
        <v>26</v>
      </c>
      <c r="F1813" t="s">
        <v>27</v>
      </c>
      <c r="G1813" t="s">
        <v>28</v>
      </c>
      <c r="H1813">
        <v>80</v>
      </c>
      <c r="I1813">
        <v>20</v>
      </c>
      <c r="K1813">
        <v>92</v>
      </c>
      <c r="L1813">
        <v>3.4</v>
      </c>
      <c r="M1813">
        <v>100</v>
      </c>
      <c r="N1813">
        <v>7.8</v>
      </c>
      <c r="O1813" t="s">
        <v>973</v>
      </c>
      <c r="S1813">
        <v>4</v>
      </c>
      <c r="T1813" t="s">
        <v>974</v>
      </c>
      <c r="U1813">
        <v>34</v>
      </c>
      <c r="V1813">
        <v>1950</v>
      </c>
      <c r="W1813">
        <v>40</v>
      </c>
      <c r="X1813" t="s">
        <v>848</v>
      </c>
    </row>
    <row r="1814" spans="1:24">
      <c r="A1814" t="str">
        <f>Hyperlink("https://www.diodes.com/part/view/DMTH8008SPSQ","DMTH8008SPSQ")</f>
        <v>DMTH8008SPSQ</v>
      </c>
      <c r="B1814" t="str">
        <f>Hyperlink("https://www.diodes.com/assets/Datasheets/DMTH8008SPSQ.pdf","DMTH8008SPSQ Datasheet")</f>
        <v>DMTH8008SPSQ Datasheet</v>
      </c>
      <c r="C1814" t="s">
        <v>1019</v>
      </c>
      <c r="D1814" t="s">
        <v>25</v>
      </c>
      <c r="E1814" t="s">
        <v>33</v>
      </c>
      <c r="F1814" t="s">
        <v>27</v>
      </c>
      <c r="G1814" t="s">
        <v>28</v>
      </c>
      <c r="H1814">
        <v>80</v>
      </c>
      <c r="I1814">
        <v>20</v>
      </c>
      <c r="K1814">
        <v>92</v>
      </c>
      <c r="L1814">
        <v>3.4</v>
      </c>
      <c r="M1814">
        <v>100</v>
      </c>
      <c r="N1814">
        <v>7.8</v>
      </c>
      <c r="O1814" t="s">
        <v>973</v>
      </c>
      <c r="S1814">
        <v>4</v>
      </c>
      <c r="T1814" t="s">
        <v>974</v>
      </c>
      <c r="U1814">
        <v>34</v>
      </c>
      <c r="V1814">
        <v>1950</v>
      </c>
      <c r="W1814">
        <v>40</v>
      </c>
      <c r="X1814" t="s">
        <v>617</v>
      </c>
    </row>
    <row r="1815" spans="1:24">
      <c r="A1815" t="str">
        <f>Hyperlink("https://www.diodes.com/part/view/DMTH8008SPSWQ","DMTH8008SPSWQ")</f>
        <v>DMTH8008SPSWQ</v>
      </c>
      <c r="B1815" t="str">
        <f>Hyperlink("https://www.diodes.com/assets/Datasheets/DMTH8008SPSWQ.pdf","DMTH8008SPSWQ Datasheet")</f>
        <v>DMTH8008SPSWQ Datasheet</v>
      </c>
      <c r="C1815" t="s">
        <v>1020</v>
      </c>
      <c r="D1815" t="s">
        <v>25</v>
      </c>
      <c r="E1815" t="s">
        <v>33</v>
      </c>
      <c r="F1815" t="s">
        <v>27</v>
      </c>
      <c r="G1815" t="s">
        <v>28</v>
      </c>
      <c r="H1815">
        <v>80</v>
      </c>
      <c r="I1815">
        <v>20</v>
      </c>
      <c r="K1815">
        <v>92</v>
      </c>
      <c r="L1815">
        <v>3.4</v>
      </c>
      <c r="M1815">
        <v>100</v>
      </c>
      <c r="N1815">
        <v>7.8</v>
      </c>
      <c r="R1815">
        <v>2</v>
      </c>
      <c r="S1815">
        <v>4</v>
      </c>
      <c r="U1815">
        <v>34</v>
      </c>
      <c r="V1815">
        <v>1950</v>
      </c>
      <c r="W1815">
        <v>40</v>
      </c>
      <c r="X1815" t="s">
        <v>757</v>
      </c>
    </row>
    <row r="1816" spans="1:24">
      <c r="A1816" t="str">
        <f>Hyperlink("https://www.diodes.com/part/view/DMTH8012LK3","DMTH8012LK3")</f>
        <v>DMTH8012LK3</v>
      </c>
      <c r="B1816" t="str">
        <f>Hyperlink("https://www.diodes.com/assets/Datasheets/DMTH8012LK3.pdf","DMTH8012LK3 Datasheet")</f>
        <v>DMTH8012LK3 Datasheet</v>
      </c>
      <c r="C1816" t="s">
        <v>24</v>
      </c>
      <c r="D1816" t="s">
        <v>25</v>
      </c>
      <c r="E1816" t="s">
        <v>26</v>
      </c>
      <c r="F1816" t="s">
        <v>27</v>
      </c>
      <c r="G1816" t="s">
        <v>28</v>
      </c>
      <c r="H1816">
        <v>80</v>
      </c>
      <c r="I1816">
        <v>20</v>
      </c>
      <c r="K1816">
        <v>50</v>
      </c>
      <c r="L1816">
        <v>2.6</v>
      </c>
      <c r="M1816">
        <v>60</v>
      </c>
      <c r="N1816">
        <v>16</v>
      </c>
      <c r="O1816">
        <v>21</v>
      </c>
      <c r="S1816">
        <v>3</v>
      </c>
      <c r="T1816">
        <v>15</v>
      </c>
      <c r="U1816">
        <v>34</v>
      </c>
      <c r="V1816">
        <v>1949</v>
      </c>
      <c r="W1816">
        <v>40</v>
      </c>
      <c r="X1816" t="s">
        <v>507</v>
      </c>
    </row>
    <row r="1817" spans="1:24">
      <c r="A1817" t="str">
        <f>Hyperlink("https://www.diodes.com/part/view/DMTH8012LK3Q","DMTH8012LK3Q")</f>
        <v>DMTH8012LK3Q</v>
      </c>
      <c r="B1817" t="str">
        <f>Hyperlink("https://www.diodes.com/assets/Datasheets/DMTH8012LK3Q.pdf","DMTH8012LK3Q Datasheet")</f>
        <v>DMTH8012LK3Q Datasheet</v>
      </c>
      <c r="C1817" t="s">
        <v>1019</v>
      </c>
      <c r="D1817" t="s">
        <v>25</v>
      </c>
      <c r="E1817" t="s">
        <v>33</v>
      </c>
      <c r="F1817" t="s">
        <v>27</v>
      </c>
      <c r="G1817" t="s">
        <v>28</v>
      </c>
      <c r="H1817">
        <v>80</v>
      </c>
      <c r="I1817">
        <v>20</v>
      </c>
      <c r="K1817">
        <v>50</v>
      </c>
      <c r="L1817">
        <v>2.6</v>
      </c>
      <c r="M1817">
        <v>60</v>
      </c>
      <c r="N1817">
        <v>16</v>
      </c>
      <c r="O1817">
        <v>21</v>
      </c>
      <c r="S1817">
        <v>3</v>
      </c>
      <c r="T1817">
        <v>24.1</v>
      </c>
      <c r="U1817">
        <v>46.8</v>
      </c>
      <c r="V1817">
        <v>2051</v>
      </c>
      <c r="W1817">
        <v>40</v>
      </c>
      <c r="X1817" t="s">
        <v>507</v>
      </c>
    </row>
    <row r="1818" spans="1:24">
      <c r="A1818" t="str">
        <f>Hyperlink("https://www.diodes.com/part/view/DMTH8012LPS","DMTH8012LPS")</f>
        <v>DMTH8012LPS</v>
      </c>
      <c r="B1818" t="str">
        <f>Hyperlink("https://www.diodes.com/assets/Datasheets/DMTH8012LPS.pdf","DMTH8012LPS Datasheet")</f>
        <v>DMTH8012LPS Datasheet</v>
      </c>
      <c r="C1818" t="s">
        <v>24</v>
      </c>
      <c r="D1818" t="s">
        <v>25</v>
      </c>
      <c r="E1818" t="s">
        <v>26</v>
      </c>
      <c r="F1818" t="s">
        <v>27</v>
      </c>
      <c r="G1818" t="s">
        <v>28</v>
      </c>
      <c r="H1818">
        <v>80</v>
      </c>
      <c r="I1818">
        <v>20</v>
      </c>
      <c r="J1818">
        <v>8</v>
      </c>
      <c r="K1818">
        <v>50</v>
      </c>
      <c r="L1818">
        <v>2.6</v>
      </c>
      <c r="M1818">
        <v>100</v>
      </c>
      <c r="N1818">
        <v>17</v>
      </c>
      <c r="O1818">
        <v>21</v>
      </c>
      <c r="S1818">
        <v>3</v>
      </c>
      <c r="T1818">
        <v>15</v>
      </c>
      <c r="U1818">
        <v>34</v>
      </c>
      <c r="V1818">
        <v>1949</v>
      </c>
      <c r="W1818">
        <v>40</v>
      </c>
      <c r="X1818" t="s">
        <v>617</v>
      </c>
    </row>
    <row r="1819" spans="1:24">
      <c r="A1819" t="str">
        <f>Hyperlink("https://www.diodes.com/part/view/DMTH8012LPSQ","DMTH8012LPSQ")</f>
        <v>DMTH8012LPSQ</v>
      </c>
      <c r="B1819" t="str">
        <f>Hyperlink("https://www.diodes.com/assets/Datasheets/DMTH8012LPSQ.pdf","DMTH8012LPSQ Datasheet")</f>
        <v>DMTH8012LPSQ Datasheet</v>
      </c>
      <c r="C1819" t="s">
        <v>1019</v>
      </c>
      <c r="D1819" t="s">
        <v>25</v>
      </c>
      <c r="E1819" t="s">
        <v>33</v>
      </c>
      <c r="F1819" t="s">
        <v>27</v>
      </c>
      <c r="G1819" t="s">
        <v>28</v>
      </c>
      <c r="H1819">
        <v>80</v>
      </c>
      <c r="I1819">
        <v>20</v>
      </c>
      <c r="J1819">
        <v>8</v>
      </c>
      <c r="K1819">
        <v>50</v>
      </c>
      <c r="L1819">
        <v>2.6</v>
      </c>
      <c r="M1819">
        <v>100</v>
      </c>
      <c r="N1819">
        <v>17</v>
      </c>
      <c r="O1819">
        <v>21</v>
      </c>
      <c r="S1819">
        <v>3</v>
      </c>
      <c r="T1819">
        <v>24.1</v>
      </c>
      <c r="U1819">
        <v>46.8</v>
      </c>
      <c r="V1819">
        <v>2051</v>
      </c>
      <c r="W1819">
        <v>40</v>
      </c>
      <c r="X1819" t="s">
        <v>617</v>
      </c>
    </row>
    <row r="1820" spans="1:24">
      <c r="A1820" t="str">
        <f>Hyperlink("https://www.diodes.com/part/view/DMTH8012LPSW","DMTH8012LPSW")</f>
        <v>DMTH8012LPSW</v>
      </c>
      <c r="B1820" t="str">
        <f>Hyperlink("https://www.diodes.com/assets/Datasheets/DMTH8012LPSW.pdf","DMTH8012LPSW Datasheet")</f>
        <v>DMTH8012LPSW Datasheet</v>
      </c>
      <c r="C1820" t="s">
        <v>1022</v>
      </c>
      <c r="D1820" t="s">
        <v>25</v>
      </c>
      <c r="E1820" t="s">
        <v>26</v>
      </c>
      <c r="F1820" t="s">
        <v>27</v>
      </c>
      <c r="G1820" t="s">
        <v>28</v>
      </c>
      <c r="H1820">
        <v>80</v>
      </c>
      <c r="I1820">
        <v>20</v>
      </c>
      <c r="J1820">
        <v>10.3</v>
      </c>
      <c r="K1820">
        <v>53.7</v>
      </c>
      <c r="L1820">
        <v>3.1</v>
      </c>
      <c r="M1820">
        <v>83.3</v>
      </c>
      <c r="N1820">
        <v>17</v>
      </c>
      <c r="O1820">
        <v>23.5</v>
      </c>
      <c r="S1820">
        <v>3</v>
      </c>
      <c r="T1820">
        <v>15</v>
      </c>
      <c r="U1820">
        <v>34</v>
      </c>
      <c r="V1820">
        <v>1949</v>
      </c>
      <c r="W1820">
        <v>40</v>
      </c>
      <c r="X1820" t="s">
        <v>819</v>
      </c>
    </row>
    <row r="1821" spans="1:24">
      <c r="A1821" t="str">
        <f>Hyperlink("https://www.diodes.com/part/view/DMTH8028LFVW","DMTH8028LFVW")</f>
        <v>DMTH8028LFVW</v>
      </c>
      <c r="B1821" t="str">
        <f>Hyperlink("https://www.diodes.com/assets/Datasheets/DMTH8028LFVW.pdf","DMTH8028LFVW Datasheet")</f>
        <v>DMTH8028LFVW Datasheet</v>
      </c>
      <c r="C1821" t="s">
        <v>1023</v>
      </c>
      <c r="D1821" t="s">
        <v>25</v>
      </c>
      <c r="E1821" t="s">
        <v>26</v>
      </c>
      <c r="F1821" t="s">
        <v>27</v>
      </c>
      <c r="G1821" t="s">
        <v>28</v>
      </c>
      <c r="H1821">
        <v>80</v>
      </c>
      <c r="I1821">
        <v>20</v>
      </c>
      <c r="K1821">
        <v>27</v>
      </c>
      <c r="L1821">
        <v>3.5</v>
      </c>
      <c r="N1821">
        <v>25</v>
      </c>
      <c r="O1821">
        <v>41</v>
      </c>
      <c r="R1821">
        <v>1.3</v>
      </c>
      <c r="S1821">
        <v>2.5</v>
      </c>
      <c r="T1821">
        <v>5.4</v>
      </c>
      <c r="U1821">
        <v>10.4</v>
      </c>
      <c r="V1821">
        <v>631</v>
      </c>
      <c r="W1821">
        <v>40</v>
      </c>
      <c r="X1821" t="s">
        <v>655</v>
      </c>
    </row>
    <row r="1822" spans="1:24">
      <c r="A1822" t="str">
        <f>Hyperlink("https://www.diodes.com/part/view/DMTH8028LFVWQ","DMTH8028LFVWQ")</f>
        <v>DMTH8028LFVWQ</v>
      </c>
      <c r="B1822" t="str">
        <f>Hyperlink("https://www.diodes.com/assets/Datasheets/DMTH8028LFVWQ.pdf","DMTH8028LFVWQ Datasheet")</f>
        <v>DMTH8028LFVWQ Datasheet</v>
      </c>
      <c r="C1822" t="s">
        <v>1023</v>
      </c>
      <c r="D1822" t="s">
        <v>25</v>
      </c>
      <c r="E1822" t="s">
        <v>33</v>
      </c>
      <c r="F1822" t="s">
        <v>27</v>
      </c>
      <c r="G1822" t="s">
        <v>28</v>
      </c>
      <c r="H1822">
        <v>80</v>
      </c>
      <c r="I1822">
        <v>20</v>
      </c>
      <c r="K1822">
        <v>27</v>
      </c>
      <c r="L1822">
        <v>3.5</v>
      </c>
      <c r="N1822">
        <v>25</v>
      </c>
      <c r="O1822">
        <v>41</v>
      </c>
      <c r="R1822">
        <v>1.3</v>
      </c>
      <c r="S1822">
        <v>2.5</v>
      </c>
      <c r="T1822">
        <v>5.4</v>
      </c>
      <c r="U1822">
        <v>10.4</v>
      </c>
      <c r="V1822">
        <v>631</v>
      </c>
      <c r="W1822">
        <v>40</v>
      </c>
      <c r="X1822" t="s">
        <v>655</v>
      </c>
    </row>
    <row r="1823" spans="1:24">
      <c r="A1823" t="str">
        <f>Hyperlink("https://www.diodes.com/part/view/DMTH8028LPSW","DMTH8028LPSW")</f>
        <v>DMTH8028LPSW</v>
      </c>
      <c r="B1823" t="str">
        <f>Hyperlink("https://www.diodes.com/assets/Datasheets/DMTH8028LPSW.pdf","DMTH8028LPSW Datasheet")</f>
        <v>DMTH8028LPSW Datasheet</v>
      </c>
      <c r="C1823" t="s">
        <v>1019</v>
      </c>
      <c r="D1823" t="s">
        <v>28</v>
      </c>
      <c r="E1823" t="s">
        <v>26</v>
      </c>
      <c r="F1823" t="s">
        <v>27</v>
      </c>
      <c r="G1823" t="s">
        <v>28</v>
      </c>
      <c r="H1823">
        <v>80</v>
      </c>
      <c r="I1823">
        <v>20</v>
      </c>
      <c r="K1823">
        <v>41.7</v>
      </c>
      <c r="L1823">
        <v>3.9</v>
      </c>
      <c r="M1823">
        <v>41.7</v>
      </c>
      <c r="N1823">
        <v>25</v>
      </c>
      <c r="O1823">
        <v>41</v>
      </c>
      <c r="S1823">
        <v>2.5</v>
      </c>
      <c r="T1823">
        <v>5.4</v>
      </c>
      <c r="U1823">
        <v>10.4</v>
      </c>
      <c r="V1823">
        <v>641</v>
      </c>
      <c r="W1823">
        <v>25</v>
      </c>
      <c r="X1823" t="s">
        <v>757</v>
      </c>
    </row>
    <row r="1824" spans="1:24">
      <c r="A1824" t="str">
        <f>Hyperlink("https://www.diodes.com/part/view/DMTH8028LPSWQ","DMTH8028LPSWQ")</f>
        <v>DMTH8028LPSWQ</v>
      </c>
      <c r="B1824" t="str">
        <f>Hyperlink("https://www.diodes.com/assets/Datasheets/DMTH8028LPSWQ.pdf","DMTH8028LPSWQ Datasheet")</f>
        <v>DMTH8028LPSWQ Datasheet</v>
      </c>
      <c r="C1824" t="s">
        <v>1019</v>
      </c>
      <c r="D1824" t="s">
        <v>25</v>
      </c>
      <c r="E1824" t="s">
        <v>33</v>
      </c>
      <c r="F1824" t="s">
        <v>27</v>
      </c>
      <c r="G1824" t="s">
        <v>28</v>
      </c>
      <c r="H1824">
        <v>80</v>
      </c>
      <c r="I1824">
        <v>20</v>
      </c>
      <c r="K1824">
        <v>41.7</v>
      </c>
      <c r="L1824">
        <v>3.9</v>
      </c>
      <c r="M1824">
        <v>41.7</v>
      </c>
      <c r="N1824">
        <v>25</v>
      </c>
      <c r="O1824">
        <v>41</v>
      </c>
      <c r="S1824">
        <v>2.5</v>
      </c>
      <c r="T1824">
        <v>5.4</v>
      </c>
      <c r="U1824">
        <v>10.4</v>
      </c>
      <c r="V1824">
        <v>641</v>
      </c>
      <c r="W1824">
        <v>25</v>
      </c>
      <c r="X1824" t="s">
        <v>757</v>
      </c>
    </row>
    <row r="1825" spans="1:24">
      <c r="A1825" t="str">
        <f>Hyperlink("https://www.diodes.com/part/view/DMTH8030LPDW","DMTH8030LPDW")</f>
        <v>DMTH8030LPDW</v>
      </c>
      <c r="B1825" t="str">
        <f>Hyperlink("https://www.diodes.com/assets/Datasheets/DMTH8030LPDW.pdf","DMTH8030LPDW Datasheet")</f>
        <v>DMTH8030LPDW Datasheet</v>
      </c>
      <c r="C1825" t="s">
        <v>1024</v>
      </c>
      <c r="D1825" t="s">
        <v>25</v>
      </c>
      <c r="E1825" t="s">
        <v>26</v>
      </c>
      <c r="F1825" t="s">
        <v>35</v>
      </c>
      <c r="G1825" t="s">
        <v>28</v>
      </c>
      <c r="H1825">
        <v>80</v>
      </c>
      <c r="I1825">
        <v>20</v>
      </c>
      <c r="K1825">
        <v>28.5</v>
      </c>
      <c r="L1825">
        <v>3.1</v>
      </c>
      <c r="M1825">
        <v>41</v>
      </c>
      <c r="N1825">
        <v>26</v>
      </c>
      <c r="O1825">
        <v>45</v>
      </c>
      <c r="R1825">
        <v>1.3</v>
      </c>
      <c r="S1825">
        <v>2.5</v>
      </c>
      <c r="T1825">
        <v>5.4</v>
      </c>
      <c r="U1825">
        <v>10.4</v>
      </c>
      <c r="V1825">
        <v>631</v>
      </c>
      <c r="W1825">
        <v>40</v>
      </c>
      <c r="X1825" t="s">
        <v>115</v>
      </c>
    </row>
    <row r="1826" spans="1:24">
      <c r="A1826" t="str">
        <f>Hyperlink("https://www.diodes.com/part/view/DMTH8030LPDWQ","DMTH8030LPDWQ")</f>
        <v>DMTH8030LPDWQ</v>
      </c>
      <c r="B1826" t="str">
        <f>Hyperlink("https://www.diodes.com/assets/Datasheets/DMTH8030LPDWQ.pdf","DMTH8030LPDWQ Datasheet")</f>
        <v>DMTH8030LPDWQ Datasheet</v>
      </c>
      <c r="C1826" t="s">
        <v>1024</v>
      </c>
      <c r="D1826" t="s">
        <v>25</v>
      </c>
      <c r="E1826" t="s">
        <v>33</v>
      </c>
      <c r="F1826" t="s">
        <v>35</v>
      </c>
      <c r="G1826" t="s">
        <v>28</v>
      </c>
      <c r="H1826">
        <v>80</v>
      </c>
      <c r="I1826">
        <v>20</v>
      </c>
      <c r="K1826">
        <v>28.5</v>
      </c>
      <c r="L1826">
        <v>3.1</v>
      </c>
      <c r="M1826">
        <v>41</v>
      </c>
      <c r="N1826">
        <v>26</v>
      </c>
      <c r="O1826">
        <v>45</v>
      </c>
      <c r="R1826">
        <v>1.3</v>
      </c>
      <c r="S1826">
        <v>2.5</v>
      </c>
      <c r="T1826">
        <v>5.4</v>
      </c>
      <c r="U1826">
        <v>10.4</v>
      </c>
      <c r="V1826">
        <v>631</v>
      </c>
      <c r="W1826">
        <v>40</v>
      </c>
      <c r="X1826" t="s">
        <v>115</v>
      </c>
    </row>
    <row r="1827" spans="1:24">
      <c r="A1827" t="str">
        <f>Hyperlink("https://www.diodes.com/part/view/DMTH83M2SPSW","DMTH83M2SPSW")</f>
        <v>DMTH83M2SPSW</v>
      </c>
      <c r="B1827" t="str">
        <f>Hyperlink("https://www.diodes.com/assets/Datasheets/DMTH83M2SPSW.pdf","DMTH83M2SPSW Datasheet")</f>
        <v>DMTH83M2SPSW Datasheet</v>
      </c>
      <c r="C1827" t="s">
        <v>1020</v>
      </c>
      <c r="D1827" t="s">
        <v>28</v>
      </c>
      <c r="E1827" t="s">
        <v>26</v>
      </c>
      <c r="F1827" t="s">
        <v>27</v>
      </c>
      <c r="G1827" t="s">
        <v>28</v>
      </c>
      <c r="H1827">
        <v>80</v>
      </c>
      <c r="I1827">
        <v>20</v>
      </c>
      <c r="K1827">
        <v>165</v>
      </c>
      <c r="L1827">
        <v>4.1</v>
      </c>
      <c r="M1827">
        <v>150</v>
      </c>
      <c r="N1827">
        <v>2.9</v>
      </c>
      <c r="R1827">
        <v>2</v>
      </c>
      <c r="S1827">
        <v>4</v>
      </c>
      <c r="U1827">
        <v>87</v>
      </c>
      <c r="V1827">
        <v>5466</v>
      </c>
      <c r="W1827">
        <v>40</v>
      </c>
      <c r="X1827" t="s">
        <v>757</v>
      </c>
    </row>
    <row r="1828" spans="1:24">
      <c r="A1828" t="str">
        <f>Hyperlink("https://www.diodes.com/part/view/DMTH83M2SPSWQ","DMTH83M2SPSWQ")</f>
        <v>DMTH83M2SPSWQ</v>
      </c>
      <c r="B1828" t="str">
        <f>Hyperlink("https://www.diodes.com/assets/Datasheets/DMTH83M2SPSWQ.pdf","DMTH83M2SPSWQ Datasheet")</f>
        <v>DMTH83M2SPSWQ Datasheet</v>
      </c>
      <c r="C1828" t="s">
        <v>1020</v>
      </c>
      <c r="D1828" t="s">
        <v>25</v>
      </c>
      <c r="E1828" t="s">
        <v>33</v>
      </c>
      <c r="F1828" t="s">
        <v>27</v>
      </c>
      <c r="G1828" t="s">
        <v>28</v>
      </c>
      <c r="H1828">
        <v>80</v>
      </c>
      <c r="I1828">
        <v>20</v>
      </c>
      <c r="K1828">
        <v>165</v>
      </c>
      <c r="L1828">
        <v>4.1</v>
      </c>
      <c r="M1828">
        <v>150</v>
      </c>
      <c r="N1828">
        <v>2.9</v>
      </c>
      <c r="R1828">
        <v>2</v>
      </c>
      <c r="S1828">
        <v>4</v>
      </c>
      <c r="U1828">
        <v>87</v>
      </c>
      <c r="V1828">
        <v>5466</v>
      </c>
      <c r="W1828">
        <v>40</v>
      </c>
      <c r="X1828" t="s">
        <v>757</v>
      </c>
    </row>
    <row r="1829" spans="1:24">
      <c r="A1829" t="str">
        <f>Hyperlink("https://www.diodes.com/part/view/DMTH84M1SPS","DMTH84M1SPS")</f>
        <v>DMTH84M1SPS</v>
      </c>
      <c r="B1829" t="str">
        <f>Hyperlink("https://www.diodes.com/assets/Datasheets/DMTH84M1SPS.pdf","DMTH84M1SPS Datasheet")</f>
        <v>DMTH84M1SPS Datasheet</v>
      </c>
      <c r="C1829" t="s">
        <v>1019</v>
      </c>
      <c r="D1829" t="s">
        <v>28</v>
      </c>
      <c r="E1829" t="s">
        <v>26</v>
      </c>
      <c r="F1829" t="s">
        <v>27</v>
      </c>
      <c r="G1829" t="s">
        <v>28</v>
      </c>
      <c r="H1829">
        <v>80</v>
      </c>
      <c r="I1829">
        <v>20</v>
      </c>
      <c r="K1829">
        <v>100</v>
      </c>
      <c r="L1829">
        <v>2.8</v>
      </c>
      <c r="M1829">
        <v>136</v>
      </c>
      <c r="N1829">
        <v>4</v>
      </c>
      <c r="O1829" t="s">
        <v>1025</v>
      </c>
      <c r="S1829">
        <v>4</v>
      </c>
      <c r="T1829" t="s">
        <v>1026</v>
      </c>
      <c r="U1829">
        <v>63</v>
      </c>
      <c r="V1829">
        <v>4209</v>
      </c>
      <c r="W1829">
        <v>40</v>
      </c>
      <c r="X1829" t="s">
        <v>617</v>
      </c>
    </row>
    <row r="1830" spans="1:24">
      <c r="A1830" t="str">
        <f>Hyperlink("https://www.diodes.com/part/view/DMTH84M1SPSQ","DMTH84M1SPSQ")</f>
        <v>DMTH84M1SPSQ</v>
      </c>
      <c r="B1830" t="str">
        <f>Hyperlink("https://www.diodes.com/assets/Datasheets/DMTH84M1SPSQ.pdf","DMTH84M1SPSQ Datasheet")</f>
        <v>DMTH84M1SPSQ Datasheet</v>
      </c>
      <c r="C1830" t="s">
        <v>1019</v>
      </c>
      <c r="D1830" t="s">
        <v>25</v>
      </c>
      <c r="E1830" t="s">
        <v>33</v>
      </c>
      <c r="F1830" t="s">
        <v>27</v>
      </c>
      <c r="G1830" t="s">
        <v>28</v>
      </c>
      <c r="H1830">
        <v>80</v>
      </c>
      <c r="I1830">
        <v>20</v>
      </c>
      <c r="K1830">
        <v>100</v>
      </c>
      <c r="L1830">
        <v>2.8</v>
      </c>
      <c r="M1830">
        <v>136</v>
      </c>
      <c r="N1830">
        <v>4</v>
      </c>
      <c r="S1830">
        <v>4</v>
      </c>
      <c r="U1830">
        <v>63</v>
      </c>
      <c r="V1830">
        <v>4209</v>
      </c>
      <c r="W1830">
        <v>40</v>
      </c>
      <c r="X1830" t="s">
        <v>617</v>
      </c>
    </row>
    <row r="1831" spans="1:24">
      <c r="A1831" t="str">
        <f>Hyperlink("https://www.diodes.com/part/view/DMWS120H100SM4","DMWS120H100SM4")</f>
        <v>DMWS120H100SM4</v>
      </c>
      <c r="B1831" t="str">
        <f>Hyperlink("https://www.diodes.com/assets/Datasheets/DMWS120H100SM4.pdf","DMWS120H100SM4 Datasheet")</f>
        <v>DMWS120H100SM4 Datasheet</v>
      </c>
      <c r="C1831" t="s">
        <v>1027</v>
      </c>
      <c r="D1831" t="s">
        <v>25</v>
      </c>
      <c r="E1831" t="s">
        <v>26</v>
      </c>
      <c r="F1831" t="s">
        <v>27</v>
      </c>
      <c r="G1831" t="s">
        <v>28</v>
      </c>
      <c r="H1831">
        <v>1200</v>
      </c>
      <c r="I1831" t="s">
        <v>1028</v>
      </c>
      <c r="K1831">
        <v>37.2</v>
      </c>
      <c r="M1831">
        <v>208</v>
      </c>
      <c r="N1831" t="s">
        <v>1029</v>
      </c>
      <c r="R1831">
        <v>1.7</v>
      </c>
      <c r="S1831">
        <v>3.5</v>
      </c>
      <c r="U1831" t="s">
        <v>1030</v>
      </c>
      <c r="V1831">
        <v>1516</v>
      </c>
      <c r="W1831">
        <v>1000</v>
      </c>
      <c r="X1831" t="s">
        <v>1031</v>
      </c>
    </row>
    <row r="1832" spans="1:24">
      <c r="A1832" t="str">
        <f>Hyperlink("https://www.diodes.com/part/view/DMWSH120H28SM3","DMWSH120H28SM3")</f>
        <v>DMWSH120H28SM3</v>
      </c>
      <c r="B1832" t="str">
        <f>Hyperlink("https://www.diodes.com/assets/Datasheets/DMWSH120H28SM3.pdf","DMWSH120H28SM3 Datasheet")</f>
        <v>DMWSH120H28SM3 Datasheet</v>
      </c>
      <c r="C1832" t="s">
        <v>1027</v>
      </c>
      <c r="D1832" t="s">
        <v>28</v>
      </c>
      <c r="E1832" t="s">
        <v>26</v>
      </c>
      <c r="F1832" t="s">
        <v>27</v>
      </c>
      <c r="G1832" t="s">
        <v>28</v>
      </c>
      <c r="H1832">
        <v>1200</v>
      </c>
      <c r="I1832" t="s">
        <v>1028</v>
      </c>
      <c r="K1832">
        <v>97.4</v>
      </c>
      <c r="M1832">
        <v>405</v>
      </c>
      <c r="N1832" t="s">
        <v>1032</v>
      </c>
      <c r="R1832">
        <v>1.8</v>
      </c>
      <c r="S1832">
        <v>3.6</v>
      </c>
      <c r="U1832" t="s">
        <v>1033</v>
      </c>
      <c r="V1832">
        <v>3905</v>
      </c>
      <c r="W1832">
        <v>1000</v>
      </c>
      <c r="X1832" t="s">
        <v>1034</v>
      </c>
    </row>
    <row r="1833" spans="1:24">
      <c r="A1833" t="str">
        <f>Hyperlink("https://www.diodes.com/part/view/DMWSH120H28SM3Q","DMWSH120H28SM3Q")</f>
        <v>DMWSH120H28SM3Q</v>
      </c>
      <c r="B1833" t="str">
        <f>Hyperlink("https://www.diodes.com/assets/Datasheets/DMWSH120H28SM3Q.pdf","DMWSH120H28SM3Q Datasheet")</f>
        <v>DMWSH120H28SM3Q Datasheet</v>
      </c>
      <c r="C1833" t="s">
        <v>1027</v>
      </c>
      <c r="D1833" t="s">
        <v>25</v>
      </c>
      <c r="E1833" t="s">
        <v>33</v>
      </c>
      <c r="F1833" t="s">
        <v>27</v>
      </c>
      <c r="G1833" t="s">
        <v>28</v>
      </c>
      <c r="H1833">
        <v>1200</v>
      </c>
      <c r="I1833" t="s">
        <v>1028</v>
      </c>
      <c r="K1833">
        <v>97.4</v>
      </c>
      <c r="M1833">
        <v>405</v>
      </c>
      <c r="N1833" t="s">
        <v>1032</v>
      </c>
      <c r="R1833">
        <v>1.8</v>
      </c>
      <c r="S1833">
        <v>3.6</v>
      </c>
      <c r="U1833" t="s">
        <v>1033</v>
      </c>
      <c r="V1833">
        <v>3905</v>
      </c>
      <c r="W1833">
        <v>1000</v>
      </c>
      <c r="X1833" t="s">
        <v>1034</v>
      </c>
    </row>
    <row r="1834" spans="1:24">
      <c r="A1834" t="str">
        <f>Hyperlink("https://www.diodes.com/part/view/DMWSH120H28SM4","DMWSH120H28SM4")</f>
        <v>DMWSH120H28SM4</v>
      </c>
      <c r="B1834" t="str">
        <f>Hyperlink("https://www.diodes.com/assets/Datasheets/DMWSH120H28SM4.pdf","DMWSH120H28SM4 Datasheet")</f>
        <v>DMWSH120H28SM4 Datasheet</v>
      </c>
      <c r="C1834" t="s">
        <v>1027</v>
      </c>
      <c r="D1834" t="s">
        <v>28</v>
      </c>
      <c r="E1834" t="s">
        <v>26</v>
      </c>
      <c r="F1834" t="s">
        <v>27</v>
      </c>
      <c r="G1834" t="s">
        <v>28</v>
      </c>
      <c r="H1834">
        <v>1200</v>
      </c>
      <c r="I1834" t="s">
        <v>1028</v>
      </c>
      <c r="K1834">
        <v>100</v>
      </c>
      <c r="M1834">
        <v>429</v>
      </c>
      <c r="N1834" t="s">
        <v>1032</v>
      </c>
      <c r="R1834">
        <v>1.8</v>
      </c>
      <c r="S1834">
        <v>3.6</v>
      </c>
      <c r="U1834" t="s">
        <v>1035</v>
      </c>
      <c r="V1834">
        <v>3944</v>
      </c>
      <c r="W1834">
        <v>1000</v>
      </c>
      <c r="X1834" t="s">
        <v>1031</v>
      </c>
    </row>
    <row r="1835" spans="1:24">
      <c r="A1835" t="str">
        <f>Hyperlink("https://www.diodes.com/part/view/DMWSH120H28SM4Q","DMWSH120H28SM4Q")</f>
        <v>DMWSH120H28SM4Q</v>
      </c>
      <c r="B1835" t="str">
        <f>Hyperlink("https://www.diodes.com/assets/Datasheets/DMWSH120H28SM4Q.pdf","DMWSH120H28SM4Q Datasheet")</f>
        <v>DMWSH120H28SM4Q Datasheet</v>
      </c>
      <c r="C1835" t="s">
        <v>1027</v>
      </c>
      <c r="D1835" t="s">
        <v>25</v>
      </c>
      <c r="E1835" t="s">
        <v>33</v>
      </c>
      <c r="F1835" t="s">
        <v>27</v>
      </c>
      <c r="G1835" t="s">
        <v>28</v>
      </c>
      <c r="H1835">
        <v>1200</v>
      </c>
      <c r="I1835" t="s">
        <v>1028</v>
      </c>
      <c r="K1835">
        <v>100</v>
      </c>
      <c r="M1835">
        <v>429</v>
      </c>
      <c r="N1835" t="s">
        <v>1032</v>
      </c>
      <c r="R1835">
        <v>1.8</v>
      </c>
      <c r="S1835">
        <v>3.6</v>
      </c>
      <c r="U1835" t="s">
        <v>1035</v>
      </c>
      <c r="V1835">
        <v>3944</v>
      </c>
      <c r="W1835">
        <v>1000</v>
      </c>
      <c r="X1835" t="s">
        <v>1031</v>
      </c>
    </row>
    <row r="1836" spans="1:24">
      <c r="A1836" t="str">
        <f>Hyperlink("https://www.diodes.com/part/view/DMWSH120H43SM3","DMWSH120H43SM3")</f>
        <v>DMWSH120H43SM3</v>
      </c>
      <c r="B1836" t="str">
        <f>Hyperlink("https://www.diodes.com/assets/Datasheets/DMWSH120H43SM3.pdf","DMWSH120H43SM3 Datasheet")</f>
        <v>DMWSH120H43SM3 Datasheet</v>
      </c>
      <c r="C1836" t="s">
        <v>1027</v>
      </c>
      <c r="D1836" t="s">
        <v>28</v>
      </c>
      <c r="E1836" t="s">
        <v>26</v>
      </c>
      <c r="F1836" t="s">
        <v>27</v>
      </c>
      <c r="G1836" t="s">
        <v>28</v>
      </c>
      <c r="H1836">
        <v>1200</v>
      </c>
      <c r="I1836" t="s">
        <v>1028</v>
      </c>
      <c r="K1836">
        <v>72.7</v>
      </c>
      <c r="M1836">
        <v>341</v>
      </c>
      <c r="N1836" t="s">
        <v>1036</v>
      </c>
      <c r="R1836">
        <v>1.8</v>
      </c>
      <c r="S1836">
        <v>3.6</v>
      </c>
      <c r="U1836" t="s">
        <v>1037</v>
      </c>
      <c r="V1836">
        <v>2187</v>
      </c>
      <c r="W1836">
        <v>1000</v>
      </c>
      <c r="X1836" t="s">
        <v>1034</v>
      </c>
    </row>
    <row r="1837" spans="1:24">
      <c r="A1837" t="str">
        <f>Hyperlink("https://www.diodes.com/part/view/DMWSH120H43SM4","DMWSH120H43SM4")</f>
        <v>DMWSH120H43SM4</v>
      </c>
      <c r="B1837" t="str">
        <f>Hyperlink("https://www.diodes.com/assets/Datasheets/DMWSH120H43SM4.pdf","DMWSH120H43SM4 Datasheet")</f>
        <v>DMWSH120H43SM4 Datasheet</v>
      </c>
      <c r="C1837" t="s">
        <v>1027</v>
      </c>
      <c r="D1837" t="s">
        <v>28</v>
      </c>
      <c r="E1837" t="s">
        <v>26</v>
      </c>
      <c r="F1837" t="s">
        <v>27</v>
      </c>
      <c r="G1837" t="s">
        <v>28</v>
      </c>
      <c r="H1837">
        <v>1200</v>
      </c>
      <c r="I1837" t="s">
        <v>1028</v>
      </c>
      <c r="K1837">
        <v>72.7</v>
      </c>
      <c r="M1837">
        <v>341</v>
      </c>
      <c r="N1837" t="s">
        <v>1036</v>
      </c>
      <c r="R1837">
        <v>1.8</v>
      </c>
      <c r="S1837">
        <v>3.6</v>
      </c>
      <c r="U1837" t="s">
        <v>1037</v>
      </c>
      <c r="V1837">
        <v>2187</v>
      </c>
      <c r="W1837">
        <v>1000</v>
      </c>
      <c r="X1837" t="s">
        <v>1031</v>
      </c>
    </row>
    <row r="1838" spans="1:24">
      <c r="A1838" t="str">
        <f>Hyperlink("https://www.diodes.com/part/view/DMWSH120H90SM3","DMWSH120H90SM3")</f>
        <v>DMWSH120H90SM3</v>
      </c>
      <c r="B1838" t="str">
        <f>Hyperlink("https://www.diodes.com/assets/Datasheets/DMWSH120H90SM3.pdf","DMWSH120H90SM3 Datasheet")</f>
        <v>DMWSH120H90SM3 Datasheet</v>
      </c>
      <c r="C1838" t="s">
        <v>1027</v>
      </c>
      <c r="D1838" t="s">
        <v>28</v>
      </c>
      <c r="E1838" t="s">
        <v>26</v>
      </c>
      <c r="F1838" t="s">
        <v>27</v>
      </c>
      <c r="G1838" t="s">
        <v>28</v>
      </c>
      <c r="H1838">
        <v>1200</v>
      </c>
      <c r="I1838" t="s">
        <v>1028</v>
      </c>
      <c r="K1838">
        <v>41</v>
      </c>
      <c r="M1838">
        <v>246</v>
      </c>
      <c r="N1838" t="s">
        <v>1038</v>
      </c>
      <c r="R1838">
        <v>1.7</v>
      </c>
      <c r="S1838">
        <v>3.5</v>
      </c>
      <c r="U1838" t="s">
        <v>1039</v>
      </c>
      <c r="V1838">
        <v>1090</v>
      </c>
      <c r="W1838">
        <v>1000</v>
      </c>
      <c r="X1838" t="s">
        <v>1034</v>
      </c>
    </row>
    <row r="1839" spans="1:24">
      <c r="A1839" t="str">
        <f>Hyperlink("https://www.diodes.com/part/view/DMWSH120H90SM3Q","DMWSH120H90SM3Q")</f>
        <v>DMWSH120H90SM3Q</v>
      </c>
      <c r="B1839" t="str">
        <f>Hyperlink("https://www.diodes.com/assets/Datasheets/DMWSH120H90SM3Q.pdf","DMWSH120H90SM3Q Datasheet")</f>
        <v>DMWSH120H90SM3Q Datasheet</v>
      </c>
      <c r="C1839" t="s">
        <v>1027</v>
      </c>
      <c r="D1839" t="s">
        <v>25</v>
      </c>
      <c r="E1839" t="s">
        <v>33</v>
      </c>
      <c r="F1839" t="s">
        <v>27</v>
      </c>
      <c r="G1839" t="s">
        <v>28</v>
      </c>
      <c r="H1839">
        <v>1200</v>
      </c>
      <c r="I1839" t="s">
        <v>1028</v>
      </c>
      <c r="K1839">
        <v>41</v>
      </c>
      <c r="M1839">
        <v>246</v>
      </c>
      <c r="N1839" t="s">
        <v>1038</v>
      </c>
      <c r="R1839">
        <v>1.7</v>
      </c>
      <c r="S1839">
        <v>3.5</v>
      </c>
      <c r="U1839" t="s">
        <v>1039</v>
      </c>
      <c r="V1839">
        <v>1090</v>
      </c>
      <c r="W1839">
        <v>1000</v>
      </c>
      <c r="X1839" t="s">
        <v>1034</v>
      </c>
    </row>
    <row r="1840" spans="1:24">
      <c r="A1840" t="str">
        <f>Hyperlink("https://www.diodes.com/part/view/DMWSH120H90SM4","DMWSH120H90SM4")</f>
        <v>DMWSH120H90SM4</v>
      </c>
      <c r="B1840" t="str">
        <f>Hyperlink("https://www.diodes.com/assets/Datasheets/DMWSH120H90SM4.pdf","DMWSH120H90SM4 Datasheet")</f>
        <v>DMWSH120H90SM4 Datasheet</v>
      </c>
      <c r="C1840" t="s">
        <v>1027</v>
      </c>
      <c r="D1840" t="s">
        <v>28</v>
      </c>
      <c r="E1840" t="s">
        <v>26</v>
      </c>
      <c r="F1840" t="s">
        <v>27</v>
      </c>
      <c r="G1840" t="s">
        <v>28</v>
      </c>
      <c r="H1840">
        <v>1200</v>
      </c>
      <c r="I1840" t="s">
        <v>1028</v>
      </c>
      <c r="K1840">
        <v>40</v>
      </c>
      <c r="M1840">
        <v>235</v>
      </c>
      <c r="N1840" t="s">
        <v>1038</v>
      </c>
      <c r="R1840">
        <v>1.7</v>
      </c>
      <c r="S1840">
        <v>3.5</v>
      </c>
      <c r="U1840" t="s">
        <v>1040</v>
      </c>
      <c r="V1840">
        <v>1112</v>
      </c>
      <c r="W1840">
        <v>1000</v>
      </c>
      <c r="X1840" t="s">
        <v>1031</v>
      </c>
    </row>
    <row r="1841" spans="1:24">
      <c r="A1841" t="str">
        <f>Hyperlink("https://www.diodes.com/part/view/DMWSH120H90SM4Q","DMWSH120H90SM4Q")</f>
        <v>DMWSH120H90SM4Q</v>
      </c>
      <c r="B1841" t="str">
        <f>Hyperlink("https://www.diodes.com/assets/Datasheets/DMWSH120H90SM4Q.pdf","DMWSH120H90SM4Q Datasheet")</f>
        <v>DMWSH120H90SM4Q Datasheet</v>
      </c>
      <c r="C1841" t="s">
        <v>1027</v>
      </c>
      <c r="D1841" t="s">
        <v>25</v>
      </c>
      <c r="E1841" t="s">
        <v>33</v>
      </c>
      <c r="F1841" t="s">
        <v>27</v>
      </c>
      <c r="G1841" t="s">
        <v>28</v>
      </c>
      <c r="H1841">
        <v>1200</v>
      </c>
      <c r="I1841" t="s">
        <v>1028</v>
      </c>
      <c r="K1841">
        <v>40</v>
      </c>
      <c r="M1841">
        <v>235</v>
      </c>
      <c r="N1841" t="s">
        <v>1038</v>
      </c>
      <c r="R1841">
        <v>1.7</v>
      </c>
      <c r="S1841">
        <v>3.5</v>
      </c>
      <c r="U1841" t="s">
        <v>1040</v>
      </c>
      <c r="V1841">
        <v>1112</v>
      </c>
      <c r="W1841">
        <v>1000</v>
      </c>
      <c r="X1841" t="s">
        <v>1031</v>
      </c>
    </row>
    <row r="1842" spans="1:24">
      <c r="A1842" t="str">
        <f>Hyperlink("https://www.diodes.com/part/view/DTM3A25P20NFDB","DTM3A25P20NFDB")</f>
        <v>DTM3A25P20NFDB</v>
      </c>
      <c r="B1842" t="str">
        <f>Hyperlink("https://www.diodes.com/assets/Datasheets/DTM3A25P20NFDB.pdf","DTM3A25P20NFDB Datasheet")</f>
        <v>DTM3A25P20NFDB Datasheet</v>
      </c>
      <c r="C1842" t="s">
        <v>1041</v>
      </c>
      <c r="D1842" t="s">
        <v>28</v>
      </c>
      <c r="E1842" t="s">
        <v>26</v>
      </c>
      <c r="F1842" t="s">
        <v>1042</v>
      </c>
      <c r="G1842" t="s">
        <v>28</v>
      </c>
      <c r="H1842">
        <v>20</v>
      </c>
      <c r="I1842">
        <v>0.5</v>
      </c>
      <c r="J1842">
        <v>0.63</v>
      </c>
      <c r="L1842">
        <v>2.47</v>
      </c>
      <c r="O1842">
        <v>400</v>
      </c>
      <c r="P1842">
        <v>500</v>
      </c>
      <c r="Q1842">
        <v>700</v>
      </c>
      <c r="R1842">
        <v>0.5</v>
      </c>
      <c r="S1842">
        <v>1</v>
      </c>
      <c r="T1842">
        <v>736.6</v>
      </c>
      <c r="V1842">
        <v>60.67</v>
      </c>
      <c r="W1842">
        <v>16</v>
      </c>
      <c r="X1842" t="s">
        <v>125</v>
      </c>
    </row>
    <row r="1843" spans="1:24">
      <c r="A1843" t="str">
        <f>Hyperlink("https://www.diodes.com/part/view/MMBF170","MMBF170")</f>
        <v>MMBF170</v>
      </c>
      <c r="B1843" t="str">
        <f>Hyperlink("https://www.diodes.com/assets/Datasheets/MMBF170.pdf","MMBF170 Datasheet")</f>
        <v>MMBF170 Datasheet</v>
      </c>
      <c r="C1843" t="s">
        <v>24</v>
      </c>
      <c r="D1843" t="s">
        <v>25</v>
      </c>
      <c r="E1843" t="s">
        <v>26</v>
      </c>
      <c r="F1843" t="s">
        <v>27</v>
      </c>
      <c r="G1843" t="s">
        <v>28</v>
      </c>
      <c r="H1843">
        <v>60</v>
      </c>
      <c r="I1843">
        <v>20</v>
      </c>
      <c r="J1843">
        <v>0.2</v>
      </c>
      <c r="L1843">
        <v>0.3</v>
      </c>
      <c r="N1843">
        <v>5000</v>
      </c>
      <c r="O1843">
        <v>5300</v>
      </c>
      <c r="S1843">
        <v>3</v>
      </c>
      <c r="V1843">
        <v>22</v>
      </c>
      <c r="W1843">
        <v>10</v>
      </c>
      <c r="X1843" t="s">
        <v>30</v>
      </c>
    </row>
    <row r="1844" spans="1:24">
      <c r="A1844" t="str">
        <f>Hyperlink("https://www.diodes.com/part/view/MMBF170Q","MMBF170Q")</f>
        <v>MMBF170Q</v>
      </c>
      <c r="B1844" t="str">
        <f>Hyperlink("https://www.diodes.com/assets/Datasheets/MMBF170Q.pdf","MMBF170Q Datasheet")</f>
        <v>MMBF170Q Datasheet</v>
      </c>
      <c r="C1844" t="s">
        <v>24</v>
      </c>
      <c r="D1844" t="s">
        <v>25</v>
      </c>
      <c r="E1844" t="s">
        <v>33</v>
      </c>
      <c r="F1844" t="s">
        <v>27</v>
      </c>
      <c r="G1844" t="s">
        <v>28</v>
      </c>
      <c r="H1844">
        <v>60</v>
      </c>
      <c r="I1844">
        <v>20</v>
      </c>
      <c r="J1844">
        <v>0.5</v>
      </c>
      <c r="L1844">
        <v>0.3</v>
      </c>
      <c r="N1844">
        <v>5000</v>
      </c>
      <c r="O1844">
        <v>5300</v>
      </c>
      <c r="S1844">
        <v>3</v>
      </c>
      <c r="V1844">
        <v>22</v>
      </c>
      <c r="W1844">
        <v>10</v>
      </c>
      <c r="X1844" t="s">
        <v>32</v>
      </c>
    </row>
    <row r="1845" spans="1:24">
      <c r="A1845" t="str">
        <f>Hyperlink("https://www.diodes.com/part/view/NMSD200B01","NMSD200B01")</f>
        <v>NMSD200B01</v>
      </c>
      <c r="B1845" t="str">
        <f>Hyperlink("https://www.diodes.com/assets/Datasheets/ds30911.pdf","NMSD200B01 Datasheet")</f>
        <v>NMSD200B01 Datasheet</v>
      </c>
      <c r="C1845" t="s">
        <v>1043</v>
      </c>
      <c r="D1845" t="s">
        <v>28</v>
      </c>
      <c r="E1845" t="s">
        <v>26</v>
      </c>
      <c r="F1845" t="s">
        <v>1044</v>
      </c>
      <c r="G1845" t="s">
        <v>28</v>
      </c>
      <c r="H1845">
        <v>60</v>
      </c>
      <c r="I1845">
        <v>20</v>
      </c>
      <c r="L1845">
        <v>0.2</v>
      </c>
      <c r="N1845">
        <v>2000</v>
      </c>
      <c r="O1845" t="s">
        <v>1045</v>
      </c>
      <c r="R1845">
        <v>1</v>
      </c>
      <c r="S1845">
        <v>2.5</v>
      </c>
      <c r="V1845" t="s">
        <v>1046</v>
      </c>
      <c r="W1845">
        <v>25</v>
      </c>
      <c r="X1845" t="s">
        <v>37</v>
      </c>
    </row>
    <row r="1846" spans="1:24">
      <c r="A1846" t="str">
        <f>Hyperlink("https://www.diodes.com/part/view/VN10LF","VN10LF")</f>
        <v>VN10LF</v>
      </c>
      <c r="B1846" t="str">
        <f>Hyperlink("https://www.diodes.com/assets/Datasheets/VN10LF.pdf","VN10LF Datasheet")</f>
        <v>VN10LF Datasheet</v>
      </c>
      <c r="C1846" t="s">
        <v>24</v>
      </c>
      <c r="D1846" t="s">
        <v>25</v>
      </c>
      <c r="E1846" t="s">
        <v>26</v>
      </c>
      <c r="F1846" t="s">
        <v>27</v>
      </c>
      <c r="G1846" t="s">
        <v>28</v>
      </c>
      <c r="H1846">
        <v>60</v>
      </c>
      <c r="I1846">
        <v>20</v>
      </c>
      <c r="J1846">
        <v>0.15</v>
      </c>
      <c r="L1846">
        <v>0.33</v>
      </c>
      <c r="N1846">
        <v>5000</v>
      </c>
      <c r="O1846" t="s">
        <v>751</v>
      </c>
      <c r="S1846">
        <v>2.5</v>
      </c>
      <c r="X1846" t="s">
        <v>32</v>
      </c>
    </row>
    <row r="1847" spans="1:24">
      <c r="A1847" t="str">
        <f>Hyperlink("https://www.diodes.com/part/view/VN10LP","VN10LP")</f>
        <v>VN10LP</v>
      </c>
      <c r="B1847" t="str">
        <f>Hyperlink("https://www.diodes.com/assets/Datasheets/VN10LP.pdf","VN10LP Datasheet")</f>
        <v>VN10LP Datasheet</v>
      </c>
      <c r="C1847" t="s">
        <v>24</v>
      </c>
      <c r="D1847" t="s">
        <v>25</v>
      </c>
      <c r="E1847" t="s">
        <v>26</v>
      </c>
      <c r="F1847" t="s">
        <v>27</v>
      </c>
      <c r="G1847" t="s">
        <v>28</v>
      </c>
      <c r="H1847">
        <v>60</v>
      </c>
      <c r="I1847">
        <v>20</v>
      </c>
      <c r="J1847">
        <v>0.27</v>
      </c>
      <c r="L1847">
        <v>0.625</v>
      </c>
      <c r="N1847">
        <v>5000</v>
      </c>
      <c r="O1847" t="s">
        <v>751</v>
      </c>
      <c r="S1847">
        <v>2.5</v>
      </c>
      <c r="V1847" t="s">
        <v>1047</v>
      </c>
      <c r="X1847" t="s">
        <v>47</v>
      </c>
    </row>
    <row r="1848" spans="1:24">
      <c r="A1848" t="str">
        <f>Hyperlink("https://www.diodes.com/part/view/ZVN0124A","ZVN0124A")</f>
        <v>ZVN0124A</v>
      </c>
      <c r="B1848" t="str">
        <f>Hyperlink("https://www.diodes.com/assets/Datasheets/ZVN0124A.pdf","ZVN0124A Datasheet")</f>
        <v>ZVN0124A Datasheet</v>
      </c>
      <c r="C1848" t="s">
        <v>1022</v>
      </c>
      <c r="D1848" t="s">
        <v>25</v>
      </c>
      <c r="E1848" t="s">
        <v>26</v>
      </c>
      <c r="F1848" t="s">
        <v>27</v>
      </c>
      <c r="G1848" t="s">
        <v>28</v>
      </c>
      <c r="H1848">
        <v>240</v>
      </c>
      <c r="I1848">
        <v>20</v>
      </c>
      <c r="J1848">
        <v>0.16</v>
      </c>
      <c r="L1848">
        <v>0.7</v>
      </c>
      <c r="N1848">
        <v>16000</v>
      </c>
      <c r="S1848">
        <v>3</v>
      </c>
      <c r="V1848" t="s">
        <v>46</v>
      </c>
      <c r="X1848" t="s">
        <v>47</v>
      </c>
    </row>
    <row r="1849" spans="1:24">
      <c r="A1849" t="str">
        <f>Hyperlink("https://www.diodes.com/part/view/ZVN0545A","ZVN0545A")</f>
        <v>ZVN0545A</v>
      </c>
      <c r="B1849" t="str">
        <f>Hyperlink("https://www.diodes.com/assets/Datasheets/ZVN0545A.pdf","ZVN0545A Datasheet")</f>
        <v>ZVN0545A Datasheet</v>
      </c>
      <c r="C1849" t="s">
        <v>1022</v>
      </c>
      <c r="D1849" t="s">
        <v>25</v>
      </c>
      <c r="E1849" t="s">
        <v>26</v>
      </c>
      <c r="F1849" t="s">
        <v>27</v>
      </c>
      <c r="G1849" t="s">
        <v>28</v>
      </c>
      <c r="H1849">
        <v>450</v>
      </c>
      <c r="I1849">
        <v>20</v>
      </c>
      <c r="J1849">
        <v>0.09</v>
      </c>
      <c r="L1849">
        <v>0.7</v>
      </c>
      <c r="N1849">
        <v>50000</v>
      </c>
      <c r="S1849">
        <v>3</v>
      </c>
      <c r="V1849" t="s">
        <v>1048</v>
      </c>
      <c r="X1849" t="s">
        <v>47</v>
      </c>
    </row>
    <row r="1850" spans="1:24">
      <c r="A1850" t="str">
        <f>Hyperlink("https://www.diodes.com/part/view/ZVN0545G","ZVN0545G")</f>
        <v>ZVN0545G</v>
      </c>
      <c r="B1850" t="str">
        <f>Hyperlink("https://www.diodes.com/assets/Datasheets/ZVN0545G.pdf","ZVN0545G Datasheet")</f>
        <v>ZVN0545G Datasheet</v>
      </c>
      <c r="C1850" t="s">
        <v>24</v>
      </c>
      <c r="D1850" t="s">
        <v>28</v>
      </c>
      <c r="E1850" t="s">
        <v>26</v>
      </c>
      <c r="F1850" t="s">
        <v>27</v>
      </c>
      <c r="G1850" t="s">
        <v>28</v>
      </c>
      <c r="H1850">
        <v>450</v>
      </c>
      <c r="I1850">
        <v>20</v>
      </c>
      <c r="J1850">
        <v>0.14</v>
      </c>
      <c r="L1850">
        <v>2</v>
      </c>
      <c r="N1850">
        <v>50000</v>
      </c>
      <c r="S1850">
        <v>3</v>
      </c>
      <c r="V1850" t="s">
        <v>1048</v>
      </c>
      <c r="X1850" t="s">
        <v>1049</v>
      </c>
    </row>
    <row r="1851" spans="1:24">
      <c r="A1851" t="str">
        <f>Hyperlink("https://www.diodes.com/part/view/ZVN2106A","ZVN2106A")</f>
        <v>ZVN2106A</v>
      </c>
      <c r="B1851" t="str">
        <f>Hyperlink("https://www.diodes.com/assets/Datasheets/ZVN2106A.pdf","ZVN2106A Datasheet")</f>
        <v>ZVN2106A Datasheet</v>
      </c>
      <c r="C1851" t="s">
        <v>1022</v>
      </c>
      <c r="D1851" t="s">
        <v>25</v>
      </c>
      <c r="E1851" t="s">
        <v>26</v>
      </c>
      <c r="F1851" t="s">
        <v>27</v>
      </c>
      <c r="G1851" t="s">
        <v>28</v>
      </c>
      <c r="H1851">
        <v>60</v>
      </c>
      <c r="I1851">
        <v>20</v>
      </c>
      <c r="J1851">
        <v>0.45</v>
      </c>
      <c r="L1851">
        <v>0.7</v>
      </c>
      <c r="N1851">
        <v>2000</v>
      </c>
      <c r="S1851">
        <v>2.4</v>
      </c>
      <c r="V1851" t="s">
        <v>1050</v>
      </c>
      <c r="X1851" t="s">
        <v>47</v>
      </c>
    </row>
    <row r="1852" spans="1:24">
      <c r="A1852" t="str">
        <f>Hyperlink("https://www.diodes.com/part/view/ZVN2106G","ZVN2106G")</f>
        <v>ZVN2106G</v>
      </c>
      <c r="B1852" t="str">
        <f>Hyperlink("https://www.diodes.com/assets/Datasheets/ZVN2106G.pdf","ZVN2106G Datasheet")</f>
        <v>ZVN2106G Datasheet</v>
      </c>
      <c r="C1852" t="s">
        <v>1022</v>
      </c>
      <c r="D1852" t="s">
        <v>25</v>
      </c>
      <c r="E1852" t="s">
        <v>26</v>
      </c>
      <c r="F1852" t="s">
        <v>27</v>
      </c>
      <c r="G1852" t="s">
        <v>28</v>
      </c>
      <c r="H1852">
        <v>60</v>
      </c>
      <c r="I1852">
        <v>20</v>
      </c>
      <c r="J1852">
        <v>0.71</v>
      </c>
      <c r="L1852">
        <v>2</v>
      </c>
      <c r="N1852">
        <v>2000</v>
      </c>
      <c r="S1852">
        <v>2.4</v>
      </c>
      <c r="V1852" t="s">
        <v>1050</v>
      </c>
      <c r="X1852" t="s">
        <v>1049</v>
      </c>
    </row>
    <row r="1853" spans="1:24">
      <c r="A1853" t="str">
        <f>Hyperlink("https://www.diodes.com/part/view/ZVN2110A","ZVN2110A")</f>
        <v>ZVN2110A</v>
      </c>
      <c r="B1853" t="str">
        <f>Hyperlink("https://www.diodes.com/assets/Datasheets/ZVN2110A.pdf","ZVN2110A Datasheet")</f>
        <v>ZVN2110A Datasheet</v>
      </c>
      <c r="C1853" t="s">
        <v>1022</v>
      </c>
      <c r="D1853" t="s">
        <v>25</v>
      </c>
      <c r="E1853" t="s">
        <v>26</v>
      </c>
      <c r="F1853" t="s">
        <v>27</v>
      </c>
      <c r="G1853" t="s">
        <v>28</v>
      </c>
      <c r="H1853">
        <v>100</v>
      </c>
      <c r="I1853">
        <v>20</v>
      </c>
      <c r="J1853">
        <v>0.32</v>
      </c>
      <c r="L1853">
        <v>0.7</v>
      </c>
      <c r="N1853">
        <v>4000</v>
      </c>
      <c r="S1853">
        <v>2.4</v>
      </c>
      <c r="V1853" t="s">
        <v>1051</v>
      </c>
      <c r="X1853" t="s">
        <v>47</v>
      </c>
    </row>
    <row r="1854" spans="1:24">
      <c r="A1854" t="str">
        <f>Hyperlink("https://www.diodes.com/part/view/ZVN2110G","ZVN2110G")</f>
        <v>ZVN2110G</v>
      </c>
      <c r="B1854" t="str">
        <f>Hyperlink("https://www.diodes.com/assets/Datasheets/ZVN2110G.pdf","ZVN2110G Datasheet")</f>
        <v>ZVN2110G Datasheet</v>
      </c>
      <c r="C1854" t="s">
        <v>24</v>
      </c>
      <c r="D1854" t="s">
        <v>25</v>
      </c>
      <c r="E1854" t="s">
        <v>26</v>
      </c>
      <c r="F1854" t="s">
        <v>27</v>
      </c>
      <c r="G1854" t="s">
        <v>28</v>
      </c>
      <c r="H1854">
        <v>100</v>
      </c>
      <c r="I1854">
        <v>20</v>
      </c>
      <c r="J1854">
        <v>0.5</v>
      </c>
      <c r="L1854">
        <v>2</v>
      </c>
      <c r="N1854">
        <v>4000</v>
      </c>
      <c r="S1854">
        <v>2.4</v>
      </c>
      <c r="V1854" t="s">
        <v>1052</v>
      </c>
      <c r="X1854" t="s">
        <v>1049</v>
      </c>
    </row>
    <row r="1855" spans="1:24">
      <c r="A1855" t="str">
        <f>Hyperlink("https://www.diodes.com/part/view/ZVN2120G","ZVN2120G")</f>
        <v>ZVN2120G</v>
      </c>
      <c r="B1855" t="str">
        <f>Hyperlink("https://www.diodes.com/assets/Datasheets/ZVN2120G.pdf","ZVN2120G Datasheet")</f>
        <v>ZVN2120G Datasheet</v>
      </c>
      <c r="C1855" t="s">
        <v>24</v>
      </c>
      <c r="D1855" t="s">
        <v>25</v>
      </c>
      <c r="E1855" t="s">
        <v>26</v>
      </c>
      <c r="F1855" t="s">
        <v>27</v>
      </c>
      <c r="G1855" t="s">
        <v>28</v>
      </c>
      <c r="H1855">
        <v>200</v>
      </c>
      <c r="I1855">
        <v>20</v>
      </c>
      <c r="J1855">
        <v>0.32</v>
      </c>
      <c r="L1855">
        <v>2</v>
      </c>
      <c r="N1855">
        <v>10000</v>
      </c>
      <c r="S1855">
        <v>3</v>
      </c>
      <c r="V1855" t="s">
        <v>46</v>
      </c>
      <c r="X1855" t="s">
        <v>1049</v>
      </c>
    </row>
    <row r="1856" spans="1:24">
      <c r="A1856" t="str">
        <f>Hyperlink("https://www.diodes.com/part/view/ZVN3306A","ZVN3306A")</f>
        <v>ZVN3306A</v>
      </c>
      <c r="B1856" t="str">
        <f>Hyperlink("https://www.diodes.com/assets/Datasheets/ZVN3306A.pdf","ZVN3306A Datasheet")</f>
        <v>ZVN3306A Datasheet</v>
      </c>
      <c r="C1856" t="s">
        <v>24</v>
      </c>
      <c r="D1856" t="s">
        <v>25</v>
      </c>
      <c r="E1856" t="s">
        <v>26</v>
      </c>
      <c r="F1856" t="s">
        <v>27</v>
      </c>
      <c r="G1856" t="s">
        <v>28</v>
      </c>
      <c r="H1856">
        <v>60</v>
      </c>
      <c r="I1856">
        <v>20</v>
      </c>
      <c r="J1856">
        <v>0.27</v>
      </c>
      <c r="L1856">
        <v>0.625</v>
      </c>
      <c r="N1856">
        <v>5000</v>
      </c>
      <c r="S1856">
        <v>2.4</v>
      </c>
      <c r="V1856" t="s">
        <v>1053</v>
      </c>
      <c r="X1856" t="s">
        <v>47</v>
      </c>
    </row>
    <row r="1857" spans="1:24">
      <c r="A1857" t="str">
        <f>Hyperlink("https://www.diodes.com/part/view/ZVN3306F","ZVN3306F")</f>
        <v>ZVN3306F</v>
      </c>
      <c r="B1857" t="str">
        <f>Hyperlink("https://www.diodes.com/assets/Datasheets/ZVN3306F.pdf","ZVN3306F Datasheet")</f>
        <v>ZVN3306F Datasheet</v>
      </c>
      <c r="C1857" t="s">
        <v>24</v>
      </c>
      <c r="D1857" t="s">
        <v>25</v>
      </c>
      <c r="E1857" t="s">
        <v>26</v>
      </c>
      <c r="F1857" t="s">
        <v>27</v>
      </c>
      <c r="G1857" t="s">
        <v>28</v>
      </c>
      <c r="H1857">
        <v>60</v>
      </c>
      <c r="I1857">
        <v>20</v>
      </c>
      <c r="J1857">
        <v>0.15</v>
      </c>
      <c r="L1857">
        <v>0.33</v>
      </c>
      <c r="N1857">
        <v>5000</v>
      </c>
      <c r="S1857">
        <v>2.4</v>
      </c>
      <c r="V1857" t="s">
        <v>1053</v>
      </c>
      <c r="X1857" t="s">
        <v>32</v>
      </c>
    </row>
    <row r="1858" spans="1:24">
      <c r="A1858" t="str">
        <f>Hyperlink("https://www.diodes.com/part/view/ZVN3310A","ZVN3310A")</f>
        <v>ZVN3310A</v>
      </c>
      <c r="B1858" t="str">
        <f>Hyperlink("https://www.diodes.com/assets/Datasheets/ZVN3310A.pdf","ZVN3310A Datasheet")</f>
        <v>ZVN3310A Datasheet</v>
      </c>
      <c r="C1858" t="s">
        <v>1022</v>
      </c>
      <c r="D1858" t="s">
        <v>25</v>
      </c>
      <c r="E1858" t="s">
        <v>26</v>
      </c>
      <c r="F1858" t="s">
        <v>27</v>
      </c>
      <c r="G1858" t="s">
        <v>28</v>
      </c>
      <c r="H1858">
        <v>100</v>
      </c>
      <c r="I1858">
        <v>20</v>
      </c>
      <c r="J1858">
        <v>0.2</v>
      </c>
      <c r="L1858">
        <v>0.625</v>
      </c>
      <c r="N1858">
        <v>10000</v>
      </c>
      <c r="S1858">
        <v>2.4</v>
      </c>
      <c r="V1858" t="s">
        <v>1054</v>
      </c>
      <c r="X1858" t="s">
        <v>47</v>
      </c>
    </row>
    <row r="1859" spans="1:24">
      <c r="A1859" t="str">
        <f>Hyperlink("https://www.diodes.com/part/view/ZVN3310F","ZVN3310F")</f>
        <v>ZVN3310F</v>
      </c>
      <c r="B1859" t="str">
        <f>Hyperlink("https://www.diodes.com/assets/Datasheets/ZVN3310F.pdf","ZVN3310F Datasheet")</f>
        <v>ZVN3310F Datasheet</v>
      </c>
      <c r="C1859" t="s">
        <v>1055</v>
      </c>
      <c r="D1859" t="s">
        <v>25</v>
      </c>
      <c r="E1859" t="s">
        <v>26</v>
      </c>
      <c r="F1859" t="s">
        <v>27</v>
      </c>
      <c r="G1859" t="s">
        <v>28</v>
      </c>
      <c r="H1859">
        <v>100</v>
      </c>
      <c r="I1859">
        <v>20</v>
      </c>
      <c r="J1859">
        <v>0.1</v>
      </c>
      <c r="L1859">
        <v>0.33</v>
      </c>
      <c r="N1859">
        <v>10000</v>
      </c>
      <c r="S1859">
        <v>2.4</v>
      </c>
      <c r="V1859" t="s">
        <v>1054</v>
      </c>
      <c r="X1859" t="s">
        <v>32</v>
      </c>
    </row>
    <row r="1860" spans="1:24">
      <c r="A1860" t="str">
        <f>Hyperlink("https://www.diodes.com/part/view/ZVN3320F","ZVN3320F")</f>
        <v>ZVN3320F</v>
      </c>
      <c r="B1860" t="str">
        <f>Hyperlink("https://www.diodes.com/assets/Datasheets/ZVN3320F.pdf","ZVN3320F Datasheet")</f>
        <v>ZVN3320F Datasheet</v>
      </c>
      <c r="C1860" t="s">
        <v>24</v>
      </c>
      <c r="D1860" t="s">
        <v>25</v>
      </c>
      <c r="E1860" t="s">
        <v>26</v>
      </c>
      <c r="F1860" t="s">
        <v>27</v>
      </c>
      <c r="G1860" t="s">
        <v>28</v>
      </c>
      <c r="H1860">
        <v>200</v>
      </c>
      <c r="I1860">
        <v>20</v>
      </c>
      <c r="J1860">
        <v>0.06</v>
      </c>
      <c r="L1860">
        <v>0.33</v>
      </c>
      <c r="N1860">
        <v>25000</v>
      </c>
      <c r="S1860">
        <v>3</v>
      </c>
      <c r="V1860" t="s">
        <v>1056</v>
      </c>
      <c r="X1860" t="s">
        <v>32</v>
      </c>
    </row>
    <row r="1861" spans="1:24">
      <c r="A1861" t="str">
        <f>Hyperlink("https://www.diodes.com/part/view/ZVN4106F","ZVN4106F")</f>
        <v>ZVN4106F</v>
      </c>
      <c r="B1861" t="str">
        <f>Hyperlink("https://www.diodes.com/assets/Datasheets/ZVN4106F.pdf","ZVN4106F Datasheet")</f>
        <v>ZVN4106F Datasheet</v>
      </c>
      <c r="C1861" t="s">
        <v>1057</v>
      </c>
      <c r="D1861" t="s">
        <v>25</v>
      </c>
      <c r="E1861" t="s">
        <v>26</v>
      </c>
      <c r="F1861" t="s">
        <v>27</v>
      </c>
      <c r="G1861" t="s">
        <v>28</v>
      </c>
      <c r="H1861">
        <v>60</v>
      </c>
      <c r="I1861">
        <v>20</v>
      </c>
      <c r="J1861">
        <v>0.2</v>
      </c>
      <c r="L1861">
        <v>0.35</v>
      </c>
      <c r="N1861">
        <v>2500</v>
      </c>
      <c r="O1861" t="s">
        <v>1058</v>
      </c>
      <c r="S1861">
        <v>3</v>
      </c>
      <c r="V1861" t="s">
        <v>1059</v>
      </c>
      <c r="X1861" t="s">
        <v>32</v>
      </c>
    </row>
    <row r="1862" spans="1:24">
      <c r="A1862" t="str">
        <f>Hyperlink("https://www.diodes.com/part/view/ZVN4206A","ZVN4206A")</f>
        <v>ZVN4206A</v>
      </c>
      <c r="B1862" t="str">
        <f>Hyperlink("https://www.diodes.com/assets/Datasheets/ZVN4206A.pdf","ZVN4206A Datasheet")</f>
        <v>ZVN4206A Datasheet</v>
      </c>
      <c r="C1862" t="s">
        <v>1022</v>
      </c>
      <c r="D1862" t="s">
        <v>25</v>
      </c>
      <c r="E1862" t="s">
        <v>26</v>
      </c>
      <c r="F1862" t="s">
        <v>27</v>
      </c>
      <c r="G1862" t="s">
        <v>28</v>
      </c>
      <c r="H1862">
        <v>60</v>
      </c>
      <c r="I1862">
        <v>20</v>
      </c>
      <c r="J1862">
        <v>0.6</v>
      </c>
      <c r="L1862">
        <v>0.7</v>
      </c>
      <c r="N1862">
        <v>1000</v>
      </c>
      <c r="O1862" t="s">
        <v>1060</v>
      </c>
      <c r="S1862">
        <v>3</v>
      </c>
      <c r="V1862" t="s">
        <v>1061</v>
      </c>
      <c r="X1862" t="s">
        <v>47</v>
      </c>
    </row>
    <row r="1863" spans="1:24">
      <c r="A1863" t="str">
        <f>Hyperlink("https://www.diodes.com/part/view/ZVN4206AV","ZVN4206AV")</f>
        <v>ZVN4206AV</v>
      </c>
      <c r="B1863" t="str">
        <f>Hyperlink("https://www.diodes.com/assets/Datasheets/ZVN4206AV.pdf","ZVN4206AV Datasheet")</f>
        <v>ZVN4206AV Datasheet</v>
      </c>
      <c r="C1863" t="s">
        <v>24</v>
      </c>
      <c r="D1863" t="s">
        <v>25</v>
      </c>
      <c r="E1863" t="s">
        <v>26</v>
      </c>
      <c r="F1863" t="s">
        <v>27</v>
      </c>
      <c r="G1863" t="s">
        <v>28</v>
      </c>
      <c r="H1863">
        <v>60</v>
      </c>
      <c r="I1863">
        <v>20</v>
      </c>
      <c r="J1863">
        <v>0.6</v>
      </c>
      <c r="L1863">
        <v>0.7</v>
      </c>
      <c r="N1863">
        <v>1000</v>
      </c>
      <c r="O1863" t="s">
        <v>1060</v>
      </c>
      <c r="S1863">
        <v>3</v>
      </c>
      <c r="V1863" t="s">
        <v>1061</v>
      </c>
      <c r="X1863" t="s">
        <v>47</v>
      </c>
    </row>
    <row r="1864" spans="1:24">
      <c r="A1864" t="str">
        <f>Hyperlink("https://www.diodes.com/part/view/ZVN4206G","ZVN4206G")</f>
        <v>ZVN4206G</v>
      </c>
      <c r="B1864" t="str">
        <f>Hyperlink("https://www.diodes.com/assets/Datasheets/ZVN4206G.pdf","ZVN4206G Datasheet")</f>
        <v>ZVN4206G Datasheet</v>
      </c>
      <c r="C1864" t="s">
        <v>24</v>
      </c>
      <c r="D1864" t="s">
        <v>25</v>
      </c>
      <c r="E1864" t="s">
        <v>26</v>
      </c>
      <c r="F1864" t="s">
        <v>27</v>
      </c>
      <c r="G1864" t="s">
        <v>28</v>
      </c>
      <c r="H1864">
        <v>60</v>
      </c>
      <c r="I1864">
        <v>20</v>
      </c>
      <c r="J1864">
        <v>1</v>
      </c>
      <c r="L1864">
        <v>2</v>
      </c>
      <c r="N1864">
        <v>1000</v>
      </c>
      <c r="O1864" t="s">
        <v>1060</v>
      </c>
      <c r="S1864">
        <v>3</v>
      </c>
      <c r="V1864" t="s">
        <v>1061</v>
      </c>
      <c r="X1864" t="s">
        <v>1049</v>
      </c>
    </row>
    <row r="1865" spans="1:24">
      <c r="A1865" t="str">
        <f>Hyperlink("https://www.diodes.com/part/view/ZVN4206GV","ZVN4206GV")</f>
        <v>ZVN4206GV</v>
      </c>
      <c r="B1865" t="str">
        <f>Hyperlink("https://www.diodes.com/assets/Datasheets/ZVN4206GV.pdf","ZVN4206GV Datasheet")</f>
        <v>ZVN4206GV Datasheet</v>
      </c>
      <c r="C1865" t="s">
        <v>24</v>
      </c>
      <c r="D1865" t="s">
        <v>25</v>
      </c>
      <c r="E1865" t="s">
        <v>26</v>
      </c>
      <c r="F1865" t="s">
        <v>27</v>
      </c>
      <c r="G1865" t="s">
        <v>28</v>
      </c>
      <c r="H1865">
        <v>60</v>
      </c>
      <c r="I1865">
        <v>20</v>
      </c>
      <c r="J1865">
        <v>1</v>
      </c>
      <c r="L1865">
        <v>2</v>
      </c>
      <c r="N1865">
        <v>1000</v>
      </c>
      <c r="O1865" t="s">
        <v>1060</v>
      </c>
      <c r="S1865">
        <v>3</v>
      </c>
      <c r="V1865" t="s">
        <v>1061</v>
      </c>
      <c r="X1865" t="s">
        <v>1049</v>
      </c>
    </row>
    <row r="1866" spans="1:24">
      <c r="A1866" t="str">
        <f>Hyperlink("https://www.diodes.com/part/view/ZVN4210A","ZVN4210A")</f>
        <v>ZVN4210A</v>
      </c>
      <c r="B1866" t="str">
        <f>Hyperlink("https://www.diodes.com/assets/Datasheets/ZVN4210A.pdf","ZVN4210A Datasheet")</f>
        <v>ZVN4210A Datasheet</v>
      </c>
      <c r="C1866" t="s">
        <v>1022</v>
      </c>
      <c r="D1866" t="s">
        <v>25</v>
      </c>
      <c r="E1866" t="s">
        <v>26</v>
      </c>
      <c r="F1866" t="s">
        <v>27</v>
      </c>
      <c r="G1866" t="s">
        <v>28</v>
      </c>
      <c r="H1866">
        <v>100</v>
      </c>
      <c r="I1866">
        <v>20</v>
      </c>
      <c r="J1866">
        <v>0.45</v>
      </c>
      <c r="L1866">
        <v>0.7</v>
      </c>
      <c r="N1866">
        <v>1500</v>
      </c>
      <c r="O1866" t="s">
        <v>734</v>
      </c>
      <c r="S1866">
        <v>2.4</v>
      </c>
      <c r="V1866" t="s">
        <v>1061</v>
      </c>
      <c r="X1866" t="s">
        <v>47</v>
      </c>
    </row>
    <row r="1867" spans="1:24">
      <c r="A1867" t="str">
        <f>Hyperlink("https://www.diodes.com/part/view/ZVN4210G","ZVN4210G")</f>
        <v>ZVN4210G</v>
      </c>
      <c r="B1867" t="str">
        <f>Hyperlink("https://www.diodes.com/assets/Datasheets/ZVN4210G.pdf","ZVN4210G Datasheet")</f>
        <v>ZVN4210G Datasheet</v>
      </c>
      <c r="C1867" t="s">
        <v>24</v>
      </c>
      <c r="D1867" t="s">
        <v>25</v>
      </c>
      <c r="E1867" t="s">
        <v>26</v>
      </c>
      <c r="F1867" t="s">
        <v>27</v>
      </c>
      <c r="G1867" t="s">
        <v>28</v>
      </c>
      <c r="H1867">
        <v>100</v>
      </c>
      <c r="I1867">
        <v>20</v>
      </c>
      <c r="J1867">
        <v>0.8</v>
      </c>
      <c r="L1867">
        <v>2</v>
      </c>
      <c r="N1867">
        <v>1500</v>
      </c>
      <c r="O1867" t="s">
        <v>734</v>
      </c>
      <c r="S1867">
        <v>2.4</v>
      </c>
      <c r="V1867" t="s">
        <v>1061</v>
      </c>
      <c r="X1867" t="s">
        <v>1049</v>
      </c>
    </row>
    <row r="1868" spans="1:24">
      <c r="A1868" t="str">
        <f>Hyperlink("https://www.diodes.com/part/view/ZVN4306A","ZVN4306A")</f>
        <v>ZVN4306A</v>
      </c>
      <c r="B1868" t="str">
        <f>Hyperlink("https://www.diodes.com/assets/Datasheets/ZVN4306A.pdf","ZVN4306A Datasheet")</f>
        <v>ZVN4306A Datasheet</v>
      </c>
      <c r="C1868" t="s">
        <v>24</v>
      </c>
      <c r="D1868" t="s">
        <v>25</v>
      </c>
      <c r="E1868" t="s">
        <v>26</v>
      </c>
      <c r="F1868" t="s">
        <v>27</v>
      </c>
      <c r="G1868" t="s">
        <v>28</v>
      </c>
      <c r="H1868">
        <v>60</v>
      </c>
      <c r="I1868">
        <v>20</v>
      </c>
      <c r="J1868">
        <v>1.1</v>
      </c>
      <c r="L1868">
        <v>1.1</v>
      </c>
      <c r="N1868">
        <v>330</v>
      </c>
      <c r="O1868" t="s">
        <v>1062</v>
      </c>
      <c r="S1868">
        <v>3</v>
      </c>
      <c r="U1868">
        <v>5.2</v>
      </c>
      <c r="V1868" t="s">
        <v>1063</v>
      </c>
      <c r="X1868" t="s">
        <v>47</v>
      </c>
    </row>
    <row r="1869" spans="1:24">
      <c r="A1869" t="str">
        <f>Hyperlink("https://www.diodes.com/part/view/ZVN4306AV","ZVN4306AV")</f>
        <v>ZVN4306AV</v>
      </c>
      <c r="B1869" t="str">
        <f>Hyperlink("https://www.diodes.com/assets/Datasheets/ZVN4306AV.pdf","ZVN4306AV Datasheet")</f>
        <v>ZVN4306AV Datasheet</v>
      </c>
      <c r="C1869" t="s">
        <v>24</v>
      </c>
      <c r="D1869" t="s">
        <v>25</v>
      </c>
      <c r="E1869" t="s">
        <v>26</v>
      </c>
      <c r="F1869" t="s">
        <v>27</v>
      </c>
      <c r="G1869" t="s">
        <v>28</v>
      </c>
      <c r="H1869">
        <v>60</v>
      </c>
      <c r="I1869">
        <v>20</v>
      </c>
      <c r="J1869">
        <v>1.1</v>
      </c>
      <c r="L1869">
        <v>0.85</v>
      </c>
      <c r="N1869">
        <v>330</v>
      </c>
      <c r="O1869" t="s">
        <v>1062</v>
      </c>
      <c r="S1869">
        <v>3</v>
      </c>
      <c r="V1869" t="s">
        <v>1063</v>
      </c>
      <c r="X1869" t="s">
        <v>47</v>
      </c>
    </row>
    <row r="1870" spans="1:24">
      <c r="A1870" t="str">
        <f>Hyperlink("https://www.diodes.com/part/view/ZVN4306G","ZVN4306G")</f>
        <v>ZVN4306G</v>
      </c>
      <c r="B1870" t="str">
        <f>Hyperlink("https://www.diodes.com/assets/Datasheets/ZVN4306G.pdf","ZVN4306G Datasheet")</f>
        <v>ZVN4306G Datasheet</v>
      </c>
      <c r="C1870" t="s">
        <v>24</v>
      </c>
      <c r="D1870" t="s">
        <v>25</v>
      </c>
      <c r="E1870" t="s">
        <v>26</v>
      </c>
      <c r="F1870" t="s">
        <v>27</v>
      </c>
      <c r="G1870" t="s">
        <v>28</v>
      </c>
      <c r="H1870">
        <v>60</v>
      </c>
      <c r="I1870">
        <v>20</v>
      </c>
      <c r="J1870">
        <v>2.1</v>
      </c>
      <c r="L1870">
        <v>3</v>
      </c>
      <c r="N1870">
        <v>330</v>
      </c>
      <c r="O1870" t="s">
        <v>1062</v>
      </c>
      <c r="S1870">
        <v>3</v>
      </c>
      <c r="V1870" t="s">
        <v>1063</v>
      </c>
      <c r="X1870" t="s">
        <v>1049</v>
      </c>
    </row>
    <row r="1871" spans="1:24">
      <c r="A1871" t="str">
        <f>Hyperlink("https://www.diodes.com/part/view/ZVN4306GV","ZVN4306GV")</f>
        <v>ZVN4306GV</v>
      </c>
      <c r="B1871" t="str">
        <f>Hyperlink("https://www.diodes.com/assets/Datasheets/ZVN4306GV.pdf","ZVN4306GV Datasheet")</f>
        <v>ZVN4306GV Datasheet</v>
      </c>
      <c r="C1871" t="s">
        <v>24</v>
      </c>
      <c r="D1871" t="s">
        <v>25</v>
      </c>
      <c r="E1871" t="s">
        <v>26</v>
      </c>
      <c r="F1871" t="s">
        <v>27</v>
      </c>
      <c r="G1871" t="s">
        <v>28</v>
      </c>
      <c r="H1871">
        <v>60</v>
      </c>
      <c r="I1871">
        <v>20</v>
      </c>
      <c r="J1871">
        <v>2.1</v>
      </c>
      <c r="L1871">
        <v>3</v>
      </c>
      <c r="N1871">
        <v>330</v>
      </c>
      <c r="O1871" t="s">
        <v>1062</v>
      </c>
      <c r="S1871">
        <v>3</v>
      </c>
      <c r="V1871" t="s">
        <v>1063</v>
      </c>
      <c r="X1871" t="s">
        <v>1049</v>
      </c>
    </row>
    <row r="1872" spans="1:24">
      <c r="A1872" t="str">
        <f>Hyperlink("https://www.diodes.com/part/view/ZVN4310A","ZVN4310A")</f>
        <v>ZVN4310A</v>
      </c>
      <c r="B1872" t="str">
        <f>Hyperlink("https://www.diodes.com/assets/Datasheets/ZVN4310A.pdf","ZVN4310A Datasheet")</f>
        <v>ZVN4310A Datasheet</v>
      </c>
      <c r="C1872" t="s">
        <v>1022</v>
      </c>
      <c r="D1872" t="s">
        <v>25</v>
      </c>
      <c r="E1872" t="s">
        <v>26</v>
      </c>
      <c r="F1872" t="s">
        <v>27</v>
      </c>
      <c r="G1872" t="s">
        <v>28</v>
      </c>
      <c r="H1872">
        <v>100</v>
      </c>
      <c r="I1872">
        <v>20</v>
      </c>
      <c r="J1872">
        <v>0.9</v>
      </c>
      <c r="L1872">
        <v>0.85</v>
      </c>
      <c r="N1872">
        <v>500</v>
      </c>
      <c r="O1872" t="s">
        <v>1064</v>
      </c>
      <c r="S1872">
        <v>3</v>
      </c>
      <c r="V1872" t="s">
        <v>1063</v>
      </c>
      <c r="X1872" t="s">
        <v>47</v>
      </c>
    </row>
    <row r="1873" spans="1:24">
      <c r="A1873" t="str">
        <f>Hyperlink("https://www.diodes.com/part/view/ZVN4310G","ZVN4310G")</f>
        <v>ZVN4310G</v>
      </c>
      <c r="B1873" t="str">
        <f>Hyperlink("https://www.diodes.com/assets/Datasheets/ZVN4310G.pdf","ZVN4310G Datasheet")</f>
        <v>ZVN4310G Datasheet</v>
      </c>
      <c r="C1873" t="s">
        <v>1065</v>
      </c>
      <c r="D1873" t="s">
        <v>25</v>
      </c>
      <c r="E1873" t="s">
        <v>26</v>
      </c>
      <c r="F1873" t="s">
        <v>27</v>
      </c>
      <c r="G1873" t="s">
        <v>28</v>
      </c>
      <c r="H1873">
        <v>100</v>
      </c>
      <c r="I1873">
        <v>20</v>
      </c>
      <c r="J1873">
        <v>1.67</v>
      </c>
      <c r="L1873">
        <v>3</v>
      </c>
      <c r="N1873">
        <v>540</v>
      </c>
      <c r="O1873" t="s">
        <v>1066</v>
      </c>
      <c r="S1873">
        <v>3</v>
      </c>
      <c r="V1873" t="s">
        <v>1063</v>
      </c>
      <c r="X1873" t="s">
        <v>1049</v>
      </c>
    </row>
    <row r="1874" spans="1:24">
      <c r="A1874" t="str">
        <f>Hyperlink("https://www.diodes.com/part/view/ZVN4424A","ZVN4424A")</f>
        <v>ZVN4424A</v>
      </c>
      <c r="B1874" t="str">
        <f>Hyperlink("https://www.diodes.com/assets/Datasheets/ZVN4424A.pdf","ZVN4424A Datasheet")</f>
        <v>ZVN4424A Datasheet</v>
      </c>
      <c r="C1874" t="s">
        <v>1067</v>
      </c>
      <c r="D1874" t="s">
        <v>25</v>
      </c>
      <c r="E1874" t="s">
        <v>26</v>
      </c>
      <c r="F1874" t="s">
        <v>27</v>
      </c>
      <c r="G1874" t="s">
        <v>28</v>
      </c>
      <c r="H1874">
        <v>240</v>
      </c>
      <c r="I1874">
        <v>40</v>
      </c>
      <c r="J1874">
        <v>0.26</v>
      </c>
      <c r="L1874">
        <v>0.75</v>
      </c>
      <c r="N1874">
        <v>5500</v>
      </c>
      <c r="P1874">
        <v>6000</v>
      </c>
      <c r="S1874">
        <v>1.8</v>
      </c>
      <c r="V1874" t="s">
        <v>1068</v>
      </c>
      <c r="X1874" t="s">
        <v>47</v>
      </c>
    </row>
    <row r="1875" spans="1:24">
      <c r="A1875" t="str">
        <f>Hyperlink("https://www.diodes.com/part/view/ZVN4424G","ZVN4424G")</f>
        <v>ZVN4424G</v>
      </c>
      <c r="B1875" t="str">
        <f>Hyperlink("https://www.diodes.com/assets/Datasheets/ZVN4424G.pdf","ZVN4424G Datasheet")</f>
        <v>ZVN4424G Datasheet</v>
      </c>
      <c r="C1875" t="s">
        <v>24</v>
      </c>
      <c r="D1875" t="s">
        <v>25</v>
      </c>
      <c r="E1875" t="s">
        <v>26</v>
      </c>
      <c r="F1875" t="s">
        <v>27</v>
      </c>
      <c r="G1875" t="s">
        <v>28</v>
      </c>
      <c r="H1875">
        <v>240</v>
      </c>
      <c r="I1875">
        <v>40</v>
      </c>
      <c r="J1875">
        <v>0.5</v>
      </c>
      <c r="L1875">
        <v>2.5</v>
      </c>
      <c r="N1875">
        <v>5500</v>
      </c>
      <c r="P1875">
        <v>6000</v>
      </c>
      <c r="S1875">
        <v>1.8</v>
      </c>
      <c r="V1875" t="s">
        <v>1068</v>
      </c>
      <c r="X1875" t="s">
        <v>586</v>
      </c>
    </row>
    <row r="1876" spans="1:24">
      <c r="A1876" t="str">
        <f>Hyperlink("https://www.diodes.com/part/view/ZVN4525E6","ZVN4525E6")</f>
        <v>ZVN4525E6</v>
      </c>
      <c r="B1876" t="str">
        <f>Hyperlink("https://www.diodes.com/assets/Datasheets/products_inactive_data/ZVN4525E6.pdf","ZVN4525E6 Datasheet")</f>
        <v>ZVN4525E6 Datasheet</v>
      </c>
      <c r="C1876" t="s">
        <v>24</v>
      </c>
      <c r="D1876" t="s">
        <v>25</v>
      </c>
      <c r="E1876" t="s">
        <v>26</v>
      </c>
      <c r="F1876" t="s">
        <v>27</v>
      </c>
      <c r="G1876" t="s">
        <v>28</v>
      </c>
      <c r="H1876">
        <v>250</v>
      </c>
      <c r="I1876">
        <v>40</v>
      </c>
      <c r="J1876">
        <v>0.23</v>
      </c>
      <c r="L1876">
        <v>1.1</v>
      </c>
      <c r="N1876">
        <v>8500</v>
      </c>
      <c r="O1876">
        <v>9000</v>
      </c>
      <c r="P1876" t="s">
        <v>1069</v>
      </c>
      <c r="S1876">
        <v>1.8</v>
      </c>
      <c r="V1876" t="s">
        <v>1070</v>
      </c>
      <c r="X1876" t="s">
        <v>261</v>
      </c>
    </row>
    <row r="1877" spans="1:24">
      <c r="A1877" t="str">
        <f>Hyperlink("https://www.diodes.com/part/view/ZVN4525G","ZVN4525G")</f>
        <v>ZVN4525G</v>
      </c>
      <c r="B1877" t="str">
        <f>Hyperlink("https://www.diodes.com/assets/Datasheets/ZVN4525G.pdf","ZVN4525G Datasheet")</f>
        <v>ZVN4525G Datasheet</v>
      </c>
      <c r="C1877" t="s">
        <v>24</v>
      </c>
      <c r="D1877" t="s">
        <v>25</v>
      </c>
      <c r="E1877" t="s">
        <v>26</v>
      </c>
      <c r="F1877" t="s">
        <v>27</v>
      </c>
      <c r="G1877" t="s">
        <v>28</v>
      </c>
      <c r="H1877">
        <v>250</v>
      </c>
      <c r="I1877">
        <v>40</v>
      </c>
      <c r="J1877">
        <v>0.31</v>
      </c>
      <c r="L1877">
        <v>2</v>
      </c>
      <c r="N1877">
        <v>8500</v>
      </c>
      <c r="O1877">
        <v>9000</v>
      </c>
      <c r="P1877">
        <v>9500</v>
      </c>
      <c r="S1877">
        <v>1.8</v>
      </c>
      <c r="V1877" t="s">
        <v>1070</v>
      </c>
      <c r="X1877" t="s">
        <v>1049</v>
      </c>
    </row>
    <row r="1878" spans="1:24">
      <c r="A1878" t="str">
        <f>Hyperlink("https://www.diodes.com/part/view/ZVN4525Z","ZVN4525Z")</f>
        <v>ZVN4525Z</v>
      </c>
      <c r="B1878" t="str">
        <f>Hyperlink("https://www.diodes.com/assets/Datasheets/ZVN4525Z.pdf","ZVN4525Z Datasheet")</f>
        <v>ZVN4525Z Datasheet</v>
      </c>
      <c r="C1878" t="s">
        <v>24</v>
      </c>
      <c r="D1878" t="s">
        <v>25</v>
      </c>
      <c r="E1878" t="s">
        <v>26</v>
      </c>
      <c r="F1878" t="s">
        <v>27</v>
      </c>
      <c r="G1878" t="s">
        <v>28</v>
      </c>
      <c r="H1878">
        <v>250</v>
      </c>
      <c r="I1878">
        <v>40</v>
      </c>
      <c r="J1878">
        <v>0.24</v>
      </c>
      <c r="L1878">
        <v>1.2</v>
      </c>
      <c r="N1878">
        <v>8500</v>
      </c>
      <c r="O1878">
        <v>9000</v>
      </c>
      <c r="P1878" t="s">
        <v>1069</v>
      </c>
      <c r="S1878">
        <v>1.8</v>
      </c>
      <c r="V1878" t="s">
        <v>1070</v>
      </c>
      <c r="X1878" t="s">
        <v>731</v>
      </c>
    </row>
    <row r="1879" spans="1:24">
      <c r="A1879" t="str">
        <f>Hyperlink("https://www.diodes.com/part/view/ZVNL110A","ZVNL110A")</f>
        <v>ZVNL110A</v>
      </c>
      <c r="B1879" t="str">
        <f>Hyperlink("https://www.diodes.com/assets/Datasheets/ZVNL110A.pdf","ZVNL110A Datasheet")</f>
        <v>ZVNL110A Datasheet</v>
      </c>
      <c r="C1879" t="s">
        <v>1022</v>
      </c>
      <c r="D1879" t="s">
        <v>25</v>
      </c>
      <c r="E1879" t="s">
        <v>26</v>
      </c>
      <c r="F1879" t="s">
        <v>27</v>
      </c>
      <c r="G1879" t="s">
        <v>28</v>
      </c>
      <c r="H1879">
        <v>100</v>
      </c>
      <c r="I1879">
        <v>20</v>
      </c>
      <c r="J1879">
        <v>0.32</v>
      </c>
      <c r="L1879">
        <v>0.7</v>
      </c>
      <c r="N1879">
        <v>3000</v>
      </c>
      <c r="O1879" t="s">
        <v>1071</v>
      </c>
      <c r="S1879">
        <v>1.5</v>
      </c>
      <c r="V1879" t="s">
        <v>1051</v>
      </c>
      <c r="X1879" t="s">
        <v>47</v>
      </c>
    </row>
    <row r="1880" spans="1:24">
      <c r="A1880" t="str">
        <f>Hyperlink("https://www.diodes.com/part/view/ZVNL110G","ZVNL110G")</f>
        <v>ZVNL110G</v>
      </c>
      <c r="B1880" t="str">
        <f>Hyperlink("https://www.diodes.com/assets/Datasheets/ZVNL110G.pdf","ZVNL110G Datasheet")</f>
        <v>ZVNL110G Datasheet</v>
      </c>
      <c r="C1880" t="s">
        <v>24</v>
      </c>
      <c r="D1880" t="s">
        <v>25</v>
      </c>
      <c r="E1880" t="s">
        <v>26</v>
      </c>
      <c r="F1880" t="s">
        <v>27</v>
      </c>
      <c r="G1880" t="s">
        <v>28</v>
      </c>
      <c r="H1880">
        <v>100</v>
      </c>
      <c r="I1880">
        <v>20</v>
      </c>
      <c r="J1880">
        <v>0.6</v>
      </c>
      <c r="L1880">
        <v>2</v>
      </c>
      <c r="N1880">
        <v>3000</v>
      </c>
      <c r="O1880" t="s">
        <v>1071</v>
      </c>
      <c r="S1880">
        <v>1.5</v>
      </c>
      <c r="V1880" t="s">
        <v>1072</v>
      </c>
      <c r="X1880" t="s">
        <v>1049</v>
      </c>
    </row>
    <row r="1881" spans="1:24">
      <c r="A1881" t="str">
        <f>Hyperlink("https://www.diodes.com/part/view/ZVNL120A","ZVNL120A")</f>
        <v>ZVNL120A</v>
      </c>
      <c r="B1881" t="str">
        <f>Hyperlink("https://www.diodes.com/assets/Datasheets/ZVNL120A.pdf","ZVNL120A Datasheet")</f>
        <v>ZVNL120A Datasheet</v>
      </c>
      <c r="C1881" t="s">
        <v>1022</v>
      </c>
      <c r="D1881" t="s">
        <v>25</v>
      </c>
      <c r="E1881" t="s">
        <v>26</v>
      </c>
      <c r="F1881" t="s">
        <v>27</v>
      </c>
      <c r="G1881" t="s">
        <v>28</v>
      </c>
      <c r="H1881">
        <v>200</v>
      </c>
      <c r="I1881">
        <v>20</v>
      </c>
      <c r="J1881">
        <v>0.18</v>
      </c>
      <c r="L1881">
        <v>0.7</v>
      </c>
      <c r="O1881" t="s">
        <v>81</v>
      </c>
      <c r="P1881" t="s">
        <v>1073</v>
      </c>
      <c r="S1881">
        <v>1.5</v>
      </c>
      <c r="V1881" t="s">
        <v>46</v>
      </c>
      <c r="X1881" t="s">
        <v>47</v>
      </c>
    </row>
    <row r="1882" spans="1:24">
      <c r="A1882" t="str">
        <f>Hyperlink("https://www.diodes.com/part/view/ZVNL120G","ZVNL120G")</f>
        <v>ZVNL120G</v>
      </c>
      <c r="B1882" t="str">
        <f>Hyperlink("https://www.diodes.com/assets/Datasheets/ZVNL120G.pdf","ZVNL120G Datasheet")</f>
        <v>ZVNL120G Datasheet</v>
      </c>
      <c r="C1882" t="s">
        <v>24</v>
      </c>
      <c r="D1882" t="s">
        <v>25</v>
      </c>
      <c r="E1882" t="s">
        <v>26</v>
      </c>
      <c r="F1882" t="s">
        <v>27</v>
      </c>
      <c r="G1882" t="s">
        <v>28</v>
      </c>
      <c r="H1882">
        <v>200</v>
      </c>
      <c r="I1882">
        <v>20</v>
      </c>
      <c r="J1882">
        <v>0.32</v>
      </c>
      <c r="L1882">
        <v>2</v>
      </c>
      <c r="O1882" t="s">
        <v>81</v>
      </c>
      <c r="P1882" t="s">
        <v>1073</v>
      </c>
      <c r="S1882">
        <v>1.5</v>
      </c>
      <c r="V1882" t="s">
        <v>46</v>
      </c>
      <c r="X1882" t="s">
        <v>1049</v>
      </c>
    </row>
    <row r="1883" spans="1:24">
      <c r="A1883" t="str">
        <f>Hyperlink("https://www.diodes.com/part/view/ZVP0545A","ZVP0545A")</f>
        <v>ZVP0545A</v>
      </c>
      <c r="B1883" t="str">
        <f>Hyperlink("https://www.diodes.com/assets/Datasheets/ZVP0545A.pdf","ZVP0545A Datasheet")</f>
        <v>ZVP0545A Datasheet</v>
      </c>
      <c r="C1883" t="s">
        <v>54</v>
      </c>
      <c r="D1883" t="s">
        <v>25</v>
      </c>
      <c r="E1883" t="s">
        <v>26</v>
      </c>
      <c r="F1883" t="s">
        <v>52</v>
      </c>
      <c r="G1883" t="s">
        <v>28</v>
      </c>
      <c r="H1883">
        <v>450</v>
      </c>
      <c r="I1883">
        <v>20</v>
      </c>
      <c r="J1883">
        <v>0.045</v>
      </c>
      <c r="L1883">
        <v>0.7</v>
      </c>
      <c r="N1883">
        <v>150000</v>
      </c>
      <c r="S1883">
        <v>4.5</v>
      </c>
      <c r="V1883" t="s">
        <v>1074</v>
      </c>
      <c r="X1883" t="s">
        <v>47</v>
      </c>
    </row>
    <row r="1884" spans="1:24">
      <c r="A1884" t="str">
        <f>Hyperlink("https://www.diodes.com/part/view/ZVP0545G","ZVP0545G")</f>
        <v>ZVP0545G</v>
      </c>
      <c r="B1884" t="str">
        <f>Hyperlink("https://www.diodes.com/assets/Datasheets/ZVP0545G.pdf","ZVP0545G Datasheet")</f>
        <v>ZVP0545G Datasheet</v>
      </c>
      <c r="C1884" t="s">
        <v>51</v>
      </c>
      <c r="D1884" t="s">
        <v>25</v>
      </c>
      <c r="E1884" t="s">
        <v>26</v>
      </c>
      <c r="F1884" t="s">
        <v>52</v>
      </c>
      <c r="G1884" t="s">
        <v>28</v>
      </c>
      <c r="H1884">
        <v>450</v>
      </c>
      <c r="I1884">
        <v>20</v>
      </c>
      <c r="J1884">
        <v>0.075</v>
      </c>
      <c r="L1884">
        <v>2</v>
      </c>
      <c r="N1884">
        <v>150000</v>
      </c>
      <c r="S1884">
        <v>4.5</v>
      </c>
      <c r="V1884" t="s">
        <v>1074</v>
      </c>
      <c r="X1884" t="s">
        <v>1049</v>
      </c>
    </row>
    <row r="1885" spans="1:24">
      <c r="A1885" t="str">
        <f>Hyperlink("https://www.diodes.com/part/view/ZVP1320F","ZVP1320F")</f>
        <v>ZVP1320F</v>
      </c>
      <c r="B1885" t="str">
        <f>Hyperlink("https://www.diodes.com/assets/Datasheets/ZVP1320F.pdf","ZVP1320F Datasheet")</f>
        <v>ZVP1320F Datasheet</v>
      </c>
      <c r="C1885" t="s">
        <v>51</v>
      </c>
      <c r="D1885" t="s">
        <v>25</v>
      </c>
      <c r="E1885" t="s">
        <v>26</v>
      </c>
      <c r="F1885" t="s">
        <v>52</v>
      </c>
      <c r="G1885" t="s">
        <v>28</v>
      </c>
      <c r="H1885">
        <v>200</v>
      </c>
      <c r="I1885">
        <v>20</v>
      </c>
      <c r="J1885">
        <v>0.035</v>
      </c>
      <c r="L1885">
        <v>0.35</v>
      </c>
      <c r="N1885">
        <v>80000</v>
      </c>
      <c r="S1885">
        <v>3.5</v>
      </c>
      <c r="V1885" t="s">
        <v>42</v>
      </c>
      <c r="X1885" t="s">
        <v>32</v>
      </c>
    </row>
    <row r="1886" spans="1:24">
      <c r="A1886" t="str">
        <f>Hyperlink("https://www.diodes.com/part/view/ZVP1320FQ","ZVP1320FQ")</f>
        <v>ZVP1320FQ</v>
      </c>
      <c r="B1886" t="str">
        <f>Hyperlink("https://www.diodes.com/assets/Datasheets/ZVP1320FQ.pdf","ZVP1320FQ Datasheet")</f>
        <v>ZVP1320FQ Datasheet</v>
      </c>
      <c r="C1886" t="s">
        <v>51</v>
      </c>
      <c r="D1886" t="s">
        <v>25</v>
      </c>
      <c r="E1886" t="s">
        <v>33</v>
      </c>
      <c r="F1886" t="s">
        <v>52</v>
      </c>
      <c r="G1886" t="s">
        <v>28</v>
      </c>
      <c r="H1886">
        <v>200</v>
      </c>
      <c r="I1886">
        <v>20</v>
      </c>
      <c r="J1886">
        <v>0.212</v>
      </c>
      <c r="L1886">
        <v>0.7</v>
      </c>
      <c r="N1886">
        <v>80000</v>
      </c>
      <c r="S1886">
        <v>3.5</v>
      </c>
      <c r="U1886">
        <v>1.2</v>
      </c>
      <c r="V1886">
        <v>25</v>
      </c>
      <c r="W1886">
        <v>100</v>
      </c>
      <c r="X1886" t="s">
        <v>32</v>
      </c>
    </row>
    <row r="1887" spans="1:24">
      <c r="A1887" t="str">
        <f>Hyperlink("https://www.diodes.com/part/view/ZVP2106A","ZVP2106A")</f>
        <v>ZVP2106A</v>
      </c>
      <c r="B1887" t="str">
        <f>Hyperlink("https://www.diodes.com/assets/Datasheets/ZVP2106A.pdf","ZVP2106A Datasheet")</f>
        <v>ZVP2106A Datasheet</v>
      </c>
      <c r="C1887" t="s">
        <v>54</v>
      </c>
      <c r="D1887" t="s">
        <v>25</v>
      </c>
      <c r="E1887" t="s">
        <v>26</v>
      </c>
      <c r="F1887" t="s">
        <v>52</v>
      </c>
      <c r="G1887" t="s">
        <v>28</v>
      </c>
      <c r="H1887">
        <v>60</v>
      </c>
      <c r="I1887">
        <v>20</v>
      </c>
      <c r="J1887">
        <v>0.28</v>
      </c>
      <c r="L1887">
        <v>0.7</v>
      </c>
      <c r="N1887">
        <v>5000</v>
      </c>
      <c r="S1887">
        <v>3.5</v>
      </c>
      <c r="V1887" t="s">
        <v>1075</v>
      </c>
      <c r="W1887">
        <v>18</v>
      </c>
      <c r="X1887" t="s">
        <v>47</v>
      </c>
    </row>
    <row r="1888" spans="1:24">
      <c r="A1888" t="str">
        <f>Hyperlink("https://www.diodes.com/part/view/ZVP2106G","ZVP2106G")</f>
        <v>ZVP2106G</v>
      </c>
      <c r="B1888" t="str">
        <f>Hyperlink("https://www.diodes.com/assets/Datasheets/ZVP2106G.pdf","ZVP2106G Datasheet")</f>
        <v>ZVP2106G Datasheet</v>
      </c>
      <c r="C1888" t="s">
        <v>51</v>
      </c>
      <c r="D1888" t="s">
        <v>25</v>
      </c>
      <c r="E1888" t="s">
        <v>26</v>
      </c>
      <c r="F1888" t="s">
        <v>52</v>
      </c>
      <c r="G1888" t="s">
        <v>28</v>
      </c>
      <c r="H1888">
        <v>60</v>
      </c>
      <c r="I1888">
        <v>20</v>
      </c>
      <c r="J1888">
        <v>0.45</v>
      </c>
      <c r="L1888">
        <v>2</v>
      </c>
      <c r="N1888">
        <v>5000</v>
      </c>
      <c r="S1888">
        <v>3.5</v>
      </c>
      <c r="V1888" t="s">
        <v>1076</v>
      </c>
      <c r="W1888">
        <v>18</v>
      </c>
      <c r="X1888" t="s">
        <v>1049</v>
      </c>
    </row>
    <row r="1889" spans="1:24">
      <c r="A1889" t="str">
        <f>Hyperlink("https://www.diodes.com/part/view/ZVP2110A","ZVP2110A")</f>
        <v>ZVP2110A</v>
      </c>
      <c r="B1889" t="str">
        <f>Hyperlink("https://www.diodes.com/assets/Datasheets/ZVP2110A.pdf","ZVP2110A Datasheet")</f>
        <v>ZVP2110A Datasheet</v>
      </c>
      <c r="C1889" t="s">
        <v>54</v>
      </c>
      <c r="D1889" t="s">
        <v>25</v>
      </c>
      <c r="E1889" t="s">
        <v>26</v>
      </c>
      <c r="F1889" t="s">
        <v>52</v>
      </c>
      <c r="G1889" t="s">
        <v>28</v>
      </c>
      <c r="H1889">
        <v>100</v>
      </c>
      <c r="I1889">
        <v>20</v>
      </c>
      <c r="J1889">
        <v>0.23</v>
      </c>
      <c r="L1889">
        <v>0.7</v>
      </c>
      <c r="N1889">
        <v>8000</v>
      </c>
      <c r="S1889">
        <v>3.5</v>
      </c>
      <c r="V1889" t="s">
        <v>1061</v>
      </c>
      <c r="X1889" t="s">
        <v>47</v>
      </c>
    </row>
    <row r="1890" spans="1:24">
      <c r="A1890" t="str">
        <f>Hyperlink("https://www.diodes.com/part/view/ZVP2110G","ZVP2110G")</f>
        <v>ZVP2110G</v>
      </c>
      <c r="B1890" t="str">
        <f>Hyperlink("https://www.diodes.com/assets/Datasheets/ZVP2110G.pdf","ZVP2110G Datasheet")</f>
        <v>ZVP2110G Datasheet</v>
      </c>
      <c r="C1890" t="s">
        <v>51</v>
      </c>
      <c r="D1890" t="s">
        <v>25</v>
      </c>
      <c r="E1890" t="s">
        <v>26</v>
      </c>
      <c r="F1890" t="s">
        <v>52</v>
      </c>
      <c r="G1890" t="s">
        <v>28</v>
      </c>
      <c r="H1890">
        <v>100</v>
      </c>
      <c r="I1890">
        <v>20</v>
      </c>
      <c r="J1890">
        <v>0.31</v>
      </c>
      <c r="L1890">
        <v>2</v>
      </c>
      <c r="N1890">
        <v>8000</v>
      </c>
      <c r="S1890">
        <v>3.5</v>
      </c>
      <c r="V1890" t="s">
        <v>1061</v>
      </c>
      <c r="X1890" t="s">
        <v>1049</v>
      </c>
    </row>
    <row r="1891" spans="1:24">
      <c r="A1891" t="str">
        <f>Hyperlink("https://www.diodes.com/part/view/ZVP2120A","ZVP2120A")</f>
        <v>ZVP2120A</v>
      </c>
      <c r="B1891" t="str">
        <f>Hyperlink("https://www.diodes.com/assets/Datasheets/ZVP2120A.pdf","ZVP2120A Datasheet")</f>
        <v>ZVP2120A Datasheet</v>
      </c>
      <c r="C1891" t="s">
        <v>54</v>
      </c>
      <c r="D1891" t="s">
        <v>25</v>
      </c>
      <c r="E1891" t="s">
        <v>26</v>
      </c>
      <c r="F1891" t="s">
        <v>52</v>
      </c>
      <c r="G1891" t="s">
        <v>28</v>
      </c>
      <c r="H1891">
        <v>200</v>
      </c>
      <c r="I1891">
        <v>20</v>
      </c>
      <c r="J1891">
        <v>0.12</v>
      </c>
      <c r="L1891">
        <v>0.7</v>
      </c>
      <c r="N1891">
        <v>25000</v>
      </c>
      <c r="S1891">
        <v>3.5</v>
      </c>
      <c r="V1891" t="s">
        <v>1061</v>
      </c>
      <c r="X1891" t="s">
        <v>47</v>
      </c>
    </row>
    <row r="1892" spans="1:24">
      <c r="A1892" t="str">
        <f>Hyperlink("https://www.diodes.com/part/view/ZVP2120G","ZVP2120G")</f>
        <v>ZVP2120G</v>
      </c>
      <c r="B1892" t="str">
        <f>Hyperlink("https://www.diodes.com/assets/Datasheets/ZVP2120G.pdf","ZVP2120G Datasheet")</f>
        <v>ZVP2120G Datasheet</v>
      </c>
      <c r="C1892" t="s">
        <v>51</v>
      </c>
      <c r="D1892" t="s">
        <v>25</v>
      </c>
      <c r="E1892" t="s">
        <v>26</v>
      </c>
      <c r="F1892" t="s">
        <v>52</v>
      </c>
      <c r="G1892" t="s">
        <v>28</v>
      </c>
      <c r="H1892">
        <v>200</v>
      </c>
      <c r="I1892">
        <v>20</v>
      </c>
      <c r="J1892">
        <v>0.2</v>
      </c>
      <c r="L1892">
        <v>2</v>
      </c>
      <c r="N1892">
        <v>25000</v>
      </c>
      <c r="S1892">
        <v>3.5</v>
      </c>
      <c r="V1892" t="s">
        <v>1061</v>
      </c>
      <c r="X1892" t="s">
        <v>1049</v>
      </c>
    </row>
    <row r="1893" spans="1:24">
      <c r="A1893" t="str">
        <f>Hyperlink("https://www.diodes.com/part/view/ZVP3306A","ZVP3306A")</f>
        <v>ZVP3306A</v>
      </c>
      <c r="B1893" t="str">
        <f>Hyperlink("https://www.diodes.com/assets/Datasheets/ZVP3306A.pdf","ZVP3306A Datasheet")</f>
        <v>ZVP3306A Datasheet</v>
      </c>
      <c r="C1893" t="s">
        <v>54</v>
      </c>
      <c r="D1893" t="s">
        <v>25</v>
      </c>
      <c r="E1893" t="s">
        <v>26</v>
      </c>
      <c r="F1893" t="s">
        <v>52</v>
      </c>
      <c r="G1893" t="s">
        <v>28</v>
      </c>
      <c r="H1893">
        <v>60</v>
      </c>
      <c r="I1893">
        <v>20</v>
      </c>
      <c r="J1893">
        <v>0.16</v>
      </c>
      <c r="L1893">
        <v>0.625</v>
      </c>
      <c r="N1893">
        <v>14000</v>
      </c>
      <c r="S1893">
        <v>3.5</v>
      </c>
      <c r="V1893" t="s">
        <v>1077</v>
      </c>
      <c r="X1893" t="s">
        <v>47</v>
      </c>
    </row>
    <row r="1894" spans="1:24">
      <c r="A1894" t="str">
        <f>Hyperlink("https://www.diodes.com/part/view/ZVP3306F","ZVP3306F")</f>
        <v>ZVP3306F</v>
      </c>
      <c r="B1894" t="str">
        <f>Hyperlink("https://www.diodes.com/assets/Datasheets/ZVP3306F.pdf","ZVP3306F Datasheet")</f>
        <v>ZVP3306F Datasheet</v>
      </c>
      <c r="C1894" t="s">
        <v>51</v>
      </c>
      <c r="D1894" t="s">
        <v>25</v>
      </c>
      <c r="E1894" t="s">
        <v>26</v>
      </c>
      <c r="F1894" t="s">
        <v>52</v>
      </c>
      <c r="G1894" t="s">
        <v>28</v>
      </c>
      <c r="H1894">
        <v>60</v>
      </c>
      <c r="I1894">
        <v>20</v>
      </c>
      <c r="J1894">
        <v>0.09</v>
      </c>
      <c r="L1894">
        <v>0.33</v>
      </c>
      <c r="N1894">
        <v>14000</v>
      </c>
      <c r="S1894">
        <v>3.5</v>
      </c>
      <c r="V1894" t="s">
        <v>1077</v>
      </c>
      <c r="X1894" t="s">
        <v>32</v>
      </c>
    </row>
    <row r="1895" spans="1:24">
      <c r="A1895" t="str">
        <f>Hyperlink("https://www.diodes.com/part/view/ZVP3310A","ZVP3310A")</f>
        <v>ZVP3310A</v>
      </c>
      <c r="B1895" t="str">
        <f>Hyperlink("https://www.diodes.com/assets/Datasheets/ZVP3310A.pdf","ZVP3310A Datasheet")</f>
        <v>ZVP3310A Datasheet</v>
      </c>
      <c r="C1895" t="s">
        <v>54</v>
      </c>
      <c r="D1895" t="s">
        <v>25</v>
      </c>
      <c r="E1895" t="s">
        <v>26</v>
      </c>
      <c r="F1895" t="s">
        <v>52</v>
      </c>
      <c r="G1895" t="s">
        <v>28</v>
      </c>
      <c r="H1895">
        <v>100</v>
      </c>
      <c r="I1895">
        <v>20</v>
      </c>
      <c r="J1895">
        <v>0.14</v>
      </c>
      <c r="L1895">
        <v>0.625</v>
      </c>
      <c r="N1895">
        <v>20000</v>
      </c>
      <c r="S1895">
        <v>3.5</v>
      </c>
      <c r="V1895" t="s">
        <v>42</v>
      </c>
      <c r="X1895" t="s">
        <v>47</v>
      </c>
    </row>
    <row r="1896" spans="1:24">
      <c r="A1896" t="str">
        <f>Hyperlink("https://www.diodes.com/part/view/ZVP3310F","ZVP3310F")</f>
        <v>ZVP3310F</v>
      </c>
      <c r="B1896" t="str">
        <f>Hyperlink("https://www.diodes.com/assets/Datasheets/ZVP3310F.pdf","ZVP3310F Datasheet")</f>
        <v>ZVP3310F Datasheet</v>
      </c>
      <c r="C1896" t="s">
        <v>51</v>
      </c>
      <c r="D1896" t="s">
        <v>25</v>
      </c>
      <c r="E1896" t="s">
        <v>26</v>
      </c>
      <c r="F1896" t="s">
        <v>52</v>
      </c>
      <c r="G1896" t="s">
        <v>28</v>
      </c>
      <c r="H1896">
        <v>100</v>
      </c>
      <c r="I1896">
        <v>20</v>
      </c>
      <c r="J1896">
        <v>0.075</v>
      </c>
      <c r="L1896">
        <v>0.33</v>
      </c>
      <c r="N1896">
        <v>20000</v>
      </c>
      <c r="S1896">
        <v>3.5</v>
      </c>
      <c r="V1896" t="s">
        <v>42</v>
      </c>
      <c r="X1896" t="s">
        <v>32</v>
      </c>
    </row>
    <row r="1897" spans="1:24">
      <c r="A1897" t="str">
        <f>Hyperlink("https://www.diodes.com/part/view/ZVP3310FQ","ZVP3310FQ")</f>
        <v>ZVP3310FQ</v>
      </c>
      <c r="B1897" t="str">
        <f>Hyperlink("https://www.diodes.com/assets/Datasheets/ZVP3310FQ.pdf","ZVP3310FQ Datasheet")</f>
        <v>ZVP3310FQ Datasheet</v>
      </c>
      <c r="C1897" t="s">
        <v>1078</v>
      </c>
      <c r="D1897" t="s">
        <v>25</v>
      </c>
      <c r="E1897" t="s">
        <v>33</v>
      </c>
      <c r="F1897" t="s">
        <v>52</v>
      </c>
      <c r="G1897" t="s">
        <v>28</v>
      </c>
      <c r="H1897">
        <v>100</v>
      </c>
      <c r="I1897">
        <v>20</v>
      </c>
      <c r="J1897">
        <v>0.075</v>
      </c>
      <c r="L1897">
        <v>0.33</v>
      </c>
      <c r="N1897">
        <v>20000</v>
      </c>
      <c r="R1897">
        <v>1.5</v>
      </c>
      <c r="S1897">
        <v>3.5</v>
      </c>
      <c r="V1897">
        <v>50</v>
      </c>
      <c r="W1897">
        <v>25</v>
      </c>
      <c r="X1897" t="s">
        <v>32</v>
      </c>
    </row>
    <row r="1898" spans="1:24">
      <c r="A1898" t="str">
        <f>Hyperlink("https://www.diodes.com/part/view/ZVP4424A","ZVP4424A")</f>
        <v>ZVP4424A</v>
      </c>
      <c r="B1898" t="str">
        <f>Hyperlink("https://www.diodes.com/assets/Datasheets/ZVP4424A.pdf","ZVP4424A Datasheet")</f>
        <v>ZVP4424A Datasheet</v>
      </c>
      <c r="C1898" t="s">
        <v>54</v>
      </c>
      <c r="D1898" t="s">
        <v>25</v>
      </c>
      <c r="E1898" t="s">
        <v>26</v>
      </c>
      <c r="F1898" t="s">
        <v>52</v>
      </c>
      <c r="G1898" t="s">
        <v>28</v>
      </c>
      <c r="H1898">
        <v>240</v>
      </c>
      <c r="I1898">
        <v>40</v>
      </c>
      <c r="J1898">
        <v>0.2</v>
      </c>
      <c r="L1898">
        <v>0.75</v>
      </c>
      <c r="N1898">
        <v>9000</v>
      </c>
      <c r="P1898" t="s">
        <v>1079</v>
      </c>
      <c r="S1898">
        <v>2</v>
      </c>
      <c r="V1898" t="s">
        <v>1061</v>
      </c>
      <c r="X1898" t="s">
        <v>47</v>
      </c>
    </row>
    <row r="1899" spans="1:24">
      <c r="A1899" t="str">
        <f>Hyperlink("https://www.diodes.com/part/view/ZVP4424G","ZVP4424G")</f>
        <v>ZVP4424G</v>
      </c>
      <c r="B1899" t="str">
        <f>Hyperlink("https://www.diodes.com/assets/Datasheets/ZVP4424G.pdf","ZVP4424G Datasheet")</f>
        <v>ZVP4424G Datasheet</v>
      </c>
      <c r="C1899" t="s">
        <v>51</v>
      </c>
      <c r="D1899" t="s">
        <v>25</v>
      </c>
      <c r="E1899" t="s">
        <v>26</v>
      </c>
      <c r="F1899" t="s">
        <v>52</v>
      </c>
      <c r="G1899" t="s">
        <v>28</v>
      </c>
      <c r="H1899">
        <v>240</v>
      </c>
      <c r="I1899">
        <v>40</v>
      </c>
      <c r="J1899">
        <v>0.48</v>
      </c>
      <c r="L1899">
        <v>2.5</v>
      </c>
      <c r="N1899">
        <v>9000</v>
      </c>
      <c r="P1899" t="s">
        <v>1079</v>
      </c>
      <c r="S1899">
        <v>2</v>
      </c>
      <c r="V1899" t="s">
        <v>1061</v>
      </c>
      <c r="X1899" t="s">
        <v>586</v>
      </c>
    </row>
    <row r="1900" spans="1:24">
      <c r="A1900" t="str">
        <f>Hyperlink("https://www.diodes.com/part/view/ZVP4424Z","ZVP4424Z")</f>
        <v>ZVP4424Z</v>
      </c>
      <c r="B1900" t="str">
        <f>Hyperlink("https://www.diodes.com/assets/Datasheets/ZVP4424Z.pdf","ZVP4424Z Datasheet")</f>
        <v>ZVP4424Z Datasheet</v>
      </c>
      <c r="C1900" t="s">
        <v>51</v>
      </c>
      <c r="D1900" t="s">
        <v>25</v>
      </c>
      <c r="E1900" t="s">
        <v>26</v>
      </c>
      <c r="F1900" t="s">
        <v>52</v>
      </c>
      <c r="G1900" t="s">
        <v>28</v>
      </c>
      <c r="H1900">
        <v>240</v>
      </c>
      <c r="I1900">
        <v>40</v>
      </c>
      <c r="J1900">
        <v>0.2</v>
      </c>
      <c r="L1900">
        <v>2.6</v>
      </c>
      <c r="N1900">
        <v>9000</v>
      </c>
      <c r="P1900" t="s">
        <v>1079</v>
      </c>
      <c r="S1900">
        <v>2</v>
      </c>
      <c r="V1900" t="s">
        <v>1061</v>
      </c>
      <c r="X1900" t="s">
        <v>731</v>
      </c>
    </row>
    <row r="1901" spans="1:24">
      <c r="A1901" t="str">
        <f>Hyperlink("https://www.diodes.com/part/view/ZVP4525E6","ZVP4525E6")</f>
        <v>ZVP4525E6</v>
      </c>
      <c r="B1901" t="str">
        <f>Hyperlink("https://www.diodes.com/assets/Datasheets/ZVP4525E6.pdf","ZVP4525E6 Datasheet")</f>
        <v>ZVP4525E6 Datasheet</v>
      </c>
      <c r="C1901" t="s">
        <v>51</v>
      </c>
      <c r="D1901" t="s">
        <v>25</v>
      </c>
      <c r="E1901" t="s">
        <v>26</v>
      </c>
      <c r="F1901" t="s">
        <v>52</v>
      </c>
      <c r="G1901" t="s">
        <v>28</v>
      </c>
      <c r="H1901">
        <v>250</v>
      </c>
      <c r="I1901">
        <v>40</v>
      </c>
      <c r="J1901">
        <v>0.197</v>
      </c>
      <c r="L1901">
        <v>1.1</v>
      </c>
      <c r="N1901">
        <v>14000</v>
      </c>
      <c r="P1901" t="s">
        <v>821</v>
      </c>
      <c r="S1901">
        <v>2</v>
      </c>
      <c r="U1901">
        <v>2.45</v>
      </c>
      <c r="V1901" t="s">
        <v>1080</v>
      </c>
      <c r="X1901" t="s">
        <v>261</v>
      </c>
    </row>
    <row r="1902" spans="1:24">
      <c r="A1902" t="str">
        <f>Hyperlink("https://www.diodes.com/part/view/ZVP4525G","ZVP4525G")</f>
        <v>ZVP4525G</v>
      </c>
      <c r="B1902" t="str">
        <f>Hyperlink("https://www.diodes.com/assets/Datasheets/ZVP4525G.pdf","ZVP4525G Datasheet")</f>
        <v>ZVP4525G Datasheet</v>
      </c>
      <c r="C1902" t="s">
        <v>51</v>
      </c>
      <c r="D1902" t="s">
        <v>25</v>
      </c>
      <c r="E1902" t="s">
        <v>26</v>
      </c>
      <c r="F1902" t="s">
        <v>52</v>
      </c>
      <c r="G1902" t="s">
        <v>28</v>
      </c>
      <c r="H1902">
        <v>250</v>
      </c>
      <c r="I1902">
        <v>40</v>
      </c>
      <c r="J1902">
        <v>0.265</v>
      </c>
      <c r="L1902">
        <v>2</v>
      </c>
      <c r="N1902">
        <v>14000</v>
      </c>
      <c r="R1902">
        <v>0.8</v>
      </c>
      <c r="S1902">
        <v>2</v>
      </c>
      <c r="U1902">
        <v>3</v>
      </c>
      <c r="V1902">
        <v>82</v>
      </c>
      <c r="W1902">
        <v>25</v>
      </c>
      <c r="X1902" t="s">
        <v>1049</v>
      </c>
    </row>
    <row r="1903" spans="1:24">
      <c r="A1903" t="str">
        <f>Hyperlink("https://www.diodes.com/part/view/ZVP4525GQ","ZVP4525GQ")</f>
        <v>ZVP4525GQ</v>
      </c>
      <c r="B1903" t="str">
        <f>Hyperlink("https://www.diodes.com/assets/Datasheets/ZVP4525GQ.pdf","ZVP4525GQ Datasheet")</f>
        <v>ZVP4525GQ Datasheet</v>
      </c>
      <c r="C1903" t="s">
        <v>1081</v>
      </c>
      <c r="D1903" t="s">
        <v>25</v>
      </c>
      <c r="E1903" t="s">
        <v>33</v>
      </c>
      <c r="F1903" t="s">
        <v>52</v>
      </c>
      <c r="G1903" t="s">
        <v>28</v>
      </c>
      <c r="H1903">
        <v>250</v>
      </c>
      <c r="I1903">
        <v>40</v>
      </c>
      <c r="J1903">
        <v>0.265</v>
      </c>
      <c r="L1903">
        <v>2</v>
      </c>
      <c r="N1903">
        <v>14000</v>
      </c>
      <c r="R1903">
        <v>0.8</v>
      </c>
      <c r="S1903">
        <v>2</v>
      </c>
      <c r="U1903">
        <v>3</v>
      </c>
      <c r="V1903">
        <v>82</v>
      </c>
      <c r="W1903">
        <v>25</v>
      </c>
      <c r="X1903" t="s">
        <v>1049</v>
      </c>
    </row>
    <row r="1904" spans="1:24">
      <c r="A1904" t="str">
        <f>Hyperlink("https://www.diodes.com/part/view/ZVP4525Z","ZVP4525Z")</f>
        <v>ZVP4525Z</v>
      </c>
      <c r="B1904" t="str">
        <f>Hyperlink("https://www.diodes.com/assets/Datasheets/ZVP4525Z.pdf","ZVP4525Z Datasheet")</f>
        <v>ZVP4525Z Datasheet</v>
      </c>
      <c r="C1904" t="s">
        <v>51</v>
      </c>
      <c r="D1904" t="s">
        <v>25</v>
      </c>
      <c r="E1904" t="s">
        <v>26</v>
      </c>
      <c r="F1904" t="s">
        <v>52</v>
      </c>
      <c r="G1904" t="s">
        <v>28</v>
      </c>
      <c r="H1904">
        <v>250</v>
      </c>
      <c r="I1904">
        <v>40</v>
      </c>
      <c r="J1904">
        <v>0.205</v>
      </c>
      <c r="L1904">
        <v>1.2</v>
      </c>
      <c r="N1904">
        <v>14000</v>
      </c>
      <c r="P1904" t="s">
        <v>821</v>
      </c>
      <c r="S1904">
        <v>2</v>
      </c>
      <c r="U1904">
        <v>2.45</v>
      </c>
      <c r="V1904" t="s">
        <v>1080</v>
      </c>
      <c r="X1904" t="s">
        <v>731</v>
      </c>
    </row>
    <row r="1905" spans="1:24">
      <c r="A1905" t="str">
        <f>Hyperlink("https://www.diodes.com/part/view/ZXM61N02F","ZXM61N02F")</f>
        <v>ZXM61N02F</v>
      </c>
      <c r="B1905" t="str">
        <f>Hyperlink("https://www.diodes.com/assets/Datasheets/ZXM61N02F.pdf","ZXM61N02F Datasheet")</f>
        <v>ZXM61N02F Datasheet</v>
      </c>
      <c r="C1905" t="s">
        <v>496</v>
      </c>
      <c r="D1905" t="s">
        <v>25</v>
      </c>
      <c r="E1905" t="s">
        <v>26</v>
      </c>
      <c r="F1905" t="s">
        <v>27</v>
      </c>
      <c r="G1905" t="s">
        <v>28</v>
      </c>
      <c r="H1905">
        <v>20</v>
      </c>
      <c r="I1905">
        <v>12</v>
      </c>
      <c r="J1905">
        <v>1.7</v>
      </c>
      <c r="L1905">
        <v>0.625</v>
      </c>
      <c r="O1905">
        <v>180</v>
      </c>
      <c r="P1905" t="s">
        <v>1082</v>
      </c>
      <c r="R1905">
        <v>0.7</v>
      </c>
      <c r="T1905">
        <v>2.7</v>
      </c>
      <c r="V1905">
        <v>170</v>
      </c>
      <c r="X1905" t="s">
        <v>32</v>
      </c>
    </row>
    <row r="1906" spans="1:24">
      <c r="A1906" t="str">
        <f>Hyperlink("https://www.diodes.com/part/view/ZXM61N03F","ZXM61N03F")</f>
        <v>ZXM61N03F</v>
      </c>
      <c r="B1906" t="str">
        <f>Hyperlink("https://www.diodes.com/assets/Datasheets/ZXM61N03F.pdf","ZXM61N03F Datasheet")</f>
        <v>ZXM61N03F Datasheet</v>
      </c>
      <c r="C1906" t="s">
        <v>24</v>
      </c>
      <c r="D1906" t="s">
        <v>25</v>
      </c>
      <c r="E1906" t="s">
        <v>26</v>
      </c>
      <c r="F1906" t="s">
        <v>27</v>
      </c>
      <c r="G1906" t="s">
        <v>28</v>
      </c>
      <c r="H1906">
        <v>30</v>
      </c>
      <c r="I1906">
        <v>20</v>
      </c>
      <c r="J1906">
        <v>1.4</v>
      </c>
      <c r="L1906">
        <v>0.625</v>
      </c>
      <c r="N1906">
        <v>220</v>
      </c>
      <c r="O1906">
        <v>300</v>
      </c>
      <c r="U1906">
        <v>4.1</v>
      </c>
      <c r="V1906">
        <v>150</v>
      </c>
      <c r="X1906" t="s">
        <v>32</v>
      </c>
    </row>
    <row r="1907" spans="1:24">
      <c r="A1907" t="str">
        <f>Hyperlink("https://www.diodes.com/part/view/ZXM61P02F","ZXM61P02F")</f>
        <v>ZXM61P02F</v>
      </c>
      <c r="B1907" t="str">
        <f>Hyperlink("https://www.diodes.com/assets/Datasheets/ZXM61P02F.pdf","ZXM61P02F Datasheet")</f>
        <v>ZXM61P02F Datasheet</v>
      </c>
      <c r="C1907" t="s">
        <v>51</v>
      </c>
      <c r="D1907" t="s">
        <v>25</v>
      </c>
      <c r="E1907" t="s">
        <v>26</v>
      </c>
      <c r="F1907" t="s">
        <v>52</v>
      </c>
      <c r="G1907" t="s">
        <v>28</v>
      </c>
      <c r="H1907">
        <v>20</v>
      </c>
      <c r="I1907">
        <v>12</v>
      </c>
      <c r="J1907">
        <v>0.9</v>
      </c>
      <c r="L1907">
        <v>0.625</v>
      </c>
      <c r="O1907">
        <v>600</v>
      </c>
      <c r="P1907" t="s">
        <v>1083</v>
      </c>
      <c r="R1907">
        <v>0.7</v>
      </c>
      <c r="S1907">
        <v>1.5</v>
      </c>
      <c r="T1907">
        <v>3.5</v>
      </c>
      <c r="V1907">
        <v>160</v>
      </c>
      <c r="X1907" t="s">
        <v>32</v>
      </c>
    </row>
    <row r="1908" spans="1:24">
      <c r="A1908" t="str">
        <f>Hyperlink("https://www.diodes.com/part/view/ZXM61P03F","ZXM61P03F")</f>
        <v>ZXM61P03F</v>
      </c>
      <c r="B1908" t="str">
        <f>Hyperlink("https://www.diodes.com/assets/Datasheets/ZXM61P03F.pdf","ZXM61P03F Datasheet")</f>
        <v>ZXM61P03F Datasheet</v>
      </c>
      <c r="C1908" t="s">
        <v>51</v>
      </c>
      <c r="D1908" t="s">
        <v>25</v>
      </c>
      <c r="E1908" t="s">
        <v>26</v>
      </c>
      <c r="F1908" t="s">
        <v>52</v>
      </c>
      <c r="G1908" t="s">
        <v>28</v>
      </c>
      <c r="H1908">
        <v>30</v>
      </c>
      <c r="I1908">
        <v>20</v>
      </c>
      <c r="J1908">
        <v>1.1</v>
      </c>
      <c r="L1908">
        <v>0.625</v>
      </c>
      <c r="N1908">
        <v>350</v>
      </c>
      <c r="O1908">
        <v>550</v>
      </c>
      <c r="U1908">
        <v>4.8</v>
      </c>
      <c r="V1908">
        <v>140</v>
      </c>
      <c r="X1908" t="s">
        <v>32</v>
      </c>
    </row>
    <row r="1909" spans="1:24">
      <c r="A1909" t="str">
        <f>Hyperlink("https://www.diodes.com/part/view/ZXM62P02E6","ZXM62P02E6")</f>
        <v>ZXM62P02E6</v>
      </c>
      <c r="B1909" t="str">
        <f>Hyperlink("https://www.diodes.com/assets/Datasheets/ZXM62P02E6.pdf","ZXM62P02E6 Datasheet")</f>
        <v>ZXM62P02E6 Datasheet</v>
      </c>
      <c r="C1909" t="s">
        <v>51</v>
      </c>
      <c r="D1909" t="s">
        <v>25</v>
      </c>
      <c r="E1909" t="s">
        <v>26</v>
      </c>
      <c r="F1909" t="s">
        <v>52</v>
      </c>
      <c r="G1909" t="s">
        <v>28</v>
      </c>
      <c r="H1909">
        <v>20</v>
      </c>
      <c r="I1909">
        <v>12</v>
      </c>
      <c r="J1909">
        <v>2.3</v>
      </c>
      <c r="L1909">
        <v>1.7</v>
      </c>
      <c r="O1909">
        <v>200</v>
      </c>
      <c r="P1909" t="s">
        <v>1084</v>
      </c>
      <c r="T1909">
        <v>4.6</v>
      </c>
      <c r="V1909">
        <v>350</v>
      </c>
      <c r="X1909" t="s">
        <v>261</v>
      </c>
    </row>
    <row r="1910" spans="1:24">
      <c r="A1910" t="str">
        <f>Hyperlink("https://www.diodes.com/part/view/ZXM62P03E6","ZXM62P03E6")</f>
        <v>ZXM62P03E6</v>
      </c>
      <c r="B1910" t="str">
        <f>Hyperlink("https://www.diodes.com/assets/Datasheets/ZXM62P03E6.pdf","ZXM62P03E6 Datasheet")</f>
        <v>ZXM62P03E6 Datasheet</v>
      </c>
      <c r="C1910" t="s">
        <v>51</v>
      </c>
      <c r="D1910" t="s">
        <v>25</v>
      </c>
      <c r="E1910" t="s">
        <v>26</v>
      </c>
      <c r="F1910" t="s">
        <v>52</v>
      </c>
      <c r="G1910" t="s">
        <v>28</v>
      </c>
      <c r="H1910">
        <v>30</v>
      </c>
      <c r="I1910">
        <v>12</v>
      </c>
      <c r="J1910">
        <v>1.5</v>
      </c>
      <c r="L1910">
        <v>0.625</v>
      </c>
      <c r="N1910">
        <v>150</v>
      </c>
      <c r="O1910">
        <v>230</v>
      </c>
      <c r="T1910">
        <v>10.2</v>
      </c>
      <c r="V1910">
        <v>330</v>
      </c>
      <c r="X1910" t="s">
        <v>261</v>
      </c>
    </row>
    <row r="1911" spans="1:24">
      <c r="A1911" t="str">
        <f>Hyperlink("https://www.diodes.com/part/view/ZXM64P02X","ZXM64P02X")</f>
        <v>ZXM64P02X</v>
      </c>
      <c r="B1911" t="str">
        <f>Hyperlink("https://www.diodes.com/assets/Datasheets/ZXM64P02X.pdf","ZXM64P02X Datasheet")</f>
        <v>ZXM64P02X Datasheet</v>
      </c>
      <c r="C1911" t="s">
        <v>497</v>
      </c>
      <c r="D1911" t="s">
        <v>25</v>
      </c>
      <c r="E1911" t="s">
        <v>26</v>
      </c>
      <c r="F1911" t="s">
        <v>52</v>
      </c>
      <c r="G1911" t="s">
        <v>28</v>
      </c>
      <c r="H1911">
        <v>20</v>
      </c>
      <c r="I1911">
        <v>12</v>
      </c>
      <c r="J1911">
        <v>3.5</v>
      </c>
      <c r="L1911">
        <v>1.1</v>
      </c>
      <c r="O1911">
        <v>90</v>
      </c>
      <c r="P1911" t="s">
        <v>1085</v>
      </c>
      <c r="R1911">
        <v>0.7</v>
      </c>
      <c r="T1911">
        <v>5</v>
      </c>
      <c r="V1911">
        <v>950</v>
      </c>
      <c r="X1911" t="s">
        <v>1086</v>
      </c>
    </row>
    <row r="1912" spans="1:24">
      <c r="A1912" t="str">
        <f>Hyperlink("https://www.diodes.com/part/view/ZXM64P03X","ZXM64P03X")</f>
        <v>ZXM64P03X</v>
      </c>
      <c r="B1912" t="str">
        <f>Hyperlink("https://www.diodes.com/assets/Datasheets/ZXM64P03X.pdf","ZXM64P03X Datasheet")</f>
        <v>ZXM64P03X Datasheet</v>
      </c>
      <c r="C1912" t="s">
        <v>503</v>
      </c>
      <c r="D1912" t="s">
        <v>25</v>
      </c>
      <c r="E1912" t="s">
        <v>26</v>
      </c>
      <c r="F1912" t="s">
        <v>52</v>
      </c>
      <c r="G1912" t="s">
        <v>28</v>
      </c>
      <c r="H1912">
        <v>30</v>
      </c>
      <c r="I1912">
        <v>20</v>
      </c>
      <c r="J1912">
        <v>3.8</v>
      </c>
      <c r="L1912">
        <v>1.1</v>
      </c>
      <c r="N1912">
        <v>75</v>
      </c>
      <c r="O1912">
        <v>100</v>
      </c>
      <c r="U1912">
        <v>46</v>
      </c>
      <c r="X1912" t="s">
        <v>1086</v>
      </c>
    </row>
    <row r="1913" spans="1:24">
      <c r="A1913" t="str">
        <f>Hyperlink("https://www.diodes.com/part/view/ZXMC3A16DN8","ZXMC3A16DN8")</f>
        <v>ZXMC3A16DN8</v>
      </c>
      <c r="B1913" t="str">
        <f>Hyperlink("https://www.diodes.com/assets/Datasheets/ZXMC3A16DN8.pdf","ZXMC3A16DN8 Datasheet")</f>
        <v>ZXMC3A16DN8 Datasheet</v>
      </c>
      <c r="C1913" t="s">
        <v>68</v>
      </c>
      <c r="D1913" t="s">
        <v>25</v>
      </c>
      <c r="E1913" t="s">
        <v>26</v>
      </c>
      <c r="F1913" t="s">
        <v>69</v>
      </c>
      <c r="G1913" t="s">
        <v>28</v>
      </c>
      <c r="H1913" t="s">
        <v>285</v>
      </c>
      <c r="I1913" t="s">
        <v>71</v>
      </c>
      <c r="J1913" t="s">
        <v>1087</v>
      </c>
      <c r="L1913">
        <v>1.8</v>
      </c>
      <c r="N1913" t="s">
        <v>1088</v>
      </c>
      <c r="O1913" t="s">
        <v>1089</v>
      </c>
      <c r="S1913" t="s">
        <v>121</v>
      </c>
      <c r="T1913" t="s">
        <v>1090</v>
      </c>
      <c r="U1913" t="s">
        <v>1091</v>
      </c>
      <c r="V1913" t="s">
        <v>1092</v>
      </c>
      <c r="W1913" t="s">
        <v>273</v>
      </c>
      <c r="X1913" t="s">
        <v>155</v>
      </c>
    </row>
    <row r="1914" spans="1:24">
      <c r="A1914" t="str">
        <f>Hyperlink("https://www.diodes.com/part/view/ZXMC3A16DN8Q","ZXMC3A16DN8Q")</f>
        <v>ZXMC3A16DN8Q</v>
      </c>
      <c r="B1914" t="str">
        <f>Hyperlink("https://www.diodes.com/assets/Datasheets/ZXMC3A16DN8Q.pdf","ZXMC3A16DN8Q Datasheet")</f>
        <v>ZXMC3A16DN8Q Datasheet</v>
      </c>
      <c r="C1914" t="s">
        <v>346</v>
      </c>
      <c r="D1914" t="s">
        <v>25</v>
      </c>
      <c r="E1914" t="s">
        <v>33</v>
      </c>
      <c r="F1914" t="s">
        <v>69</v>
      </c>
      <c r="G1914" t="s">
        <v>28</v>
      </c>
      <c r="H1914" t="s">
        <v>285</v>
      </c>
      <c r="I1914" t="s">
        <v>71</v>
      </c>
      <c r="J1914" t="s">
        <v>1087</v>
      </c>
      <c r="L1914">
        <v>2.1</v>
      </c>
      <c r="N1914" t="s">
        <v>1088</v>
      </c>
      <c r="O1914" t="s">
        <v>1093</v>
      </c>
      <c r="S1914" t="s">
        <v>121</v>
      </c>
      <c r="T1914" t="s">
        <v>1090</v>
      </c>
      <c r="U1914" t="s">
        <v>1091</v>
      </c>
      <c r="V1914" t="s">
        <v>1092</v>
      </c>
      <c r="W1914" t="s">
        <v>422</v>
      </c>
      <c r="X1914" t="s">
        <v>155</v>
      </c>
    </row>
    <row r="1915" spans="1:24">
      <c r="A1915" t="str">
        <f>Hyperlink("https://www.diodes.com/part/view/ZXMC3A17DN8","ZXMC3A17DN8")</f>
        <v>ZXMC3A17DN8</v>
      </c>
      <c r="B1915" t="str">
        <f>Hyperlink("https://www.diodes.com/assets/Datasheets/ZXMC3A17DN8.pdf","ZXMC3A17DN8 Datasheet")</f>
        <v>ZXMC3A17DN8 Datasheet</v>
      </c>
      <c r="C1915" t="s">
        <v>68</v>
      </c>
      <c r="D1915" t="s">
        <v>25</v>
      </c>
      <c r="E1915" t="s">
        <v>26</v>
      </c>
      <c r="F1915" t="s">
        <v>69</v>
      </c>
      <c r="G1915" t="s">
        <v>28</v>
      </c>
      <c r="H1915" t="s">
        <v>285</v>
      </c>
      <c r="I1915" t="s">
        <v>71</v>
      </c>
      <c r="J1915" t="s">
        <v>1094</v>
      </c>
      <c r="L1915">
        <v>1.8</v>
      </c>
      <c r="N1915" t="s">
        <v>1089</v>
      </c>
      <c r="O1915" t="s">
        <v>1095</v>
      </c>
      <c r="S1915" t="s">
        <v>121</v>
      </c>
      <c r="T1915" t="s">
        <v>1096</v>
      </c>
      <c r="U1915" t="s">
        <v>1097</v>
      </c>
      <c r="V1915" t="s">
        <v>1098</v>
      </c>
      <c r="W1915" t="s">
        <v>273</v>
      </c>
      <c r="X1915" t="s">
        <v>155</v>
      </c>
    </row>
    <row r="1916" spans="1:24">
      <c r="A1916" t="str">
        <f>Hyperlink("https://www.diodes.com/part/view/ZXMC3A18DN8","ZXMC3A18DN8")</f>
        <v>ZXMC3A18DN8</v>
      </c>
      <c r="B1916" t="str">
        <f>Hyperlink("https://www.diodes.com/assets/Datasheets/ZXMC3A18DN8.pdf","ZXMC3A18DN8 Datasheet")</f>
        <v>ZXMC3A18DN8 Datasheet</v>
      </c>
      <c r="C1916" t="s">
        <v>68</v>
      </c>
      <c r="D1916" t="s">
        <v>25</v>
      </c>
      <c r="E1916" t="s">
        <v>26</v>
      </c>
      <c r="F1916" t="s">
        <v>69</v>
      </c>
      <c r="G1916" t="s">
        <v>28</v>
      </c>
      <c r="H1916" t="s">
        <v>285</v>
      </c>
      <c r="I1916" t="s">
        <v>71</v>
      </c>
      <c r="J1916" t="s">
        <v>1099</v>
      </c>
      <c r="L1916">
        <v>1.8</v>
      </c>
      <c r="N1916" t="s">
        <v>1100</v>
      </c>
      <c r="O1916" t="s">
        <v>1101</v>
      </c>
      <c r="S1916" t="s">
        <v>121</v>
      </c>
      <c r="T1916" t="s">
        <v>1102</v>
      </c>
      <c r="U1916" t="s">
        <v>1103</v>
      </c>
      <c r="V1916" t="s">
        <v>1104</v>
      </c>
      <c r="W1916" t="s">
        <v>273</v>
      </c>
      <c r="X1916" t="s">
        <v>155</v>
      </c>
    </row>
    <row r="1917" spans="1:24">
      <c r="A1917" t="str">
        <f>Hyperlink("https://www.diodes.com/part/view/ZXMC3AMC","ZXMC3AMC")</f>
        <v>ZXMC3AMC</v>
      </c>
      <c r="B1917" t="str">
        <f>Hyperlink("https://www.diodes.com/assets/Datasheets/ZXMC3AMC.pdf","ZXMC3AMC Datasheet")</f>
        <v>ZXMC3AMC Datasheet</v>
      </c>
      <c r="C1917" t="s">
        <v>346</v>
      </c>
      <c r="D1917" t="s">
        <v>25</v>
      </c>
      <c r="E1917" t="s">
        <v>26</v>
      </c>
      <c r="F1917" t="s">
        <v>69</v>
      </c>
      <c r="G1917" t="s">
        <v>28</v>
      </c>
      <c r="H1917" t="s">
        <v>285</v>
      </c>
      <c r="I1917" t="s">
        <v>71</v>
      </c>
      <c r="J1917" t="s">
        <v>1105</v>
      </c>
      <c r="L1917">
        <v>2.45</v>
      </c>
      <c r="N1917" t="s">
        <v>1106</v>
      </c>
      <c r="O1917" t="s">
        <v>1107</v>
      </c>
      <c r="S1917" t="s">
        <v>160</v>
      </c>
      <c r="T1917" t="s">
        <v>1108</v>
      </c>
      <c r="U1917" t="s">
        <v>1109</v>
      </c>
      <c r="V1917" t="s">
        <v>1110</v>
      </c>
      <c r="W1917" t="s">
        <v>273</v>
      </c>
      <c r="X1917" t="s">
        <v>901</v>
      </c>
    </row>
    <row r="1918" spans="1:24">
      <c r="A1918" t="str">
        <f>Hyperlink("https://www.diodes.com/part/view/ZXMC3F31DN8","ZXMC3F31DN8")</f>
        <v>ZXMC3F31DN8</v>
      </c>
      <c r="B1918" t="str">
        <f>Hyperlink("https://www.diodes.com/assets/Datasheets/ZXMC3F31DN8.pdf","ZXMC3F31DN8 Datasheet")</f>
        <v>ZXMC3F31DN8 Datasheet</v>
      </c>
      <c r="C1918" t="s">
        <v>1111</v>
      </c>
      <c r="D1918" t="s">
        <v>25</v>
      </c>
      <c r="E1918" t="s">
        <v>26</v>
      </c>
      <c r="F1918" t="s">
        <v>69</v>
      </c>
      <c r="G1918" t="s">
        <v>28</v>
      </c>
      <c r="H1918" t="s">
        <v>285</v>
      </c>
      <c r="I1918" t="s">
        <v>71</v>
      </c>
      <c r="J1918" t="s">
        <v>1112</v>
      </c>
      <c r="L1918">
        <v>1.8</v>
      </c>
      <c r="N1918" t="s">
        <v>436</v>
      </c>
      <c r="O1918" t="s">
        <v>1113</v>
      </c>
      <c r="S1918" t="s">
        <v>160</v>
      </c>
      <c r="U1918" t="s">
        <v>1114</v>
      </c>
      <c r="V1918" t="s">
        <v>1115</v>
      </c>
      <c r="W1918" t="s">
        <v>273</v>
      </c>
      <c r="X1918" t="s">
        <v>155</v>
      </c>
    </row>
    <row r="1919" spans="1:24">
      <c r="A1919" t="str">
        <f>Hyperlink("https://www.diodes.com/part/view/ZXMC4559DN8","ZXMC4559DN8")</f>
        <v>ZXMC4559DN8</v>
      </c>
      <c r="B1919" t="str">
        <f>Hyperlink("https://www.diodes.com/assets/Datasheets/ZXMC4559DN8.pdf","ZXMC4559DN8 Datasheet")</f>
        <v>ZXMC4559DN8 Datasheet</v>
      </c>
      <c r="C1919" t="s">
        <v>68</v>
      </c>
      <c r="D1919" t="s">
        <v>25</v>
      </c>
      <c r="E1919" t="s">
        <v>26</v>
      </c>
      <c r="F1919" t="s">
        <v>69</v>
      </c>
      <c r="G1919" t="s">
        <v>28</v>
      </c>
      <c r="H1919" t="s">
        <v>454</v>
      </c>
      <c r="I1919" t="s">
        <v>71</v>
      </c>
      <c r="J1919" t="s">
        <v>1116</v>
      </c>
      <c r="L1919">
        <v>2.1</v>
      </c>
      <c r="N1919" t="s">
        <v>1117</v>
      </c>
      <c r="O1919" t="s">
        <v>1118</v>
      </c>
      <c r="S1919" t="s">
        <v>121</v>
      </c>
      <c r="T1919" t="s">
        <v>1119</v>
      </c>
      <c r="U1919" t="s">
        <v>1120</v>
      </c>
      <c r="V1919" t="s">
        <v>1121</v>
      </c>
      <c r="W1919" t="s">
        <v>285</v>
      </c>
      <c r="X1919" t="s">
        <v>155</v>
      </c>
    </row>
    <row r="1920" spans="1:24">
      <c r="A1920" t="str">
        <f>Hyperlink("https://www.diodes.com/part/view/ZXMC4A16DN8","ZXMC4A16DN8")</f>
        <v>ZXMC4A16DN8</v>
      </c>
      <c r="B1920" t="str">
        <f>Hyperlink("https://www.diodes.com/assets/Datasheets/ZXMC4A16DN8.pdf","ZXMC4A16DN8 Datasheet")</f>
        <v>ZXMC4A16DN8 Datasheet</v>
      </c>
      <c r="C1920" t="s">
        <v>68</v>
      </c>
      <c r="D1920" t="s">
        <v>25</v>
      </c>
      <c r="E1920" t="s">
        <v>26</v>
      </c>
      <c r="F1920" t="s">
        <v>69</v>
      </c>
      <c r="G1920" t="s">
        <v>28</v>
      </c>
      <c r="H1920" t="s">
        <v>423</v>
      </c>
      <c r="I1920" t="s">
        <v>71</v>
      </c>
      <c r="J1920" t="s">
        <v>1122</v>
      </c>
      <c r="L1920">
        <v>1.8</v>
      </c>
      <c r="N1920" t="s">
        <v>1123</v>
      </c>
      <c r="O1920" t="s">
        <v>1124</v>
      </c>
      <c r="S1920" t="s">
        <v>121</v>
      </c>
      <c r="U1920" t="s">
        <v>1125</v>
      </c>
      <c r="V1920" t="s">
        <v>1126</v>
      </c>
      <c r="W1920" t="s">
        <v>423</v>
      </c>
      <c r="X1920" t="s">
        <v>155</v>
      </c>
    </row>
    <row r="1921" spans="1:24">
      <c r="A1921" t="str">
        <f>Hyperlink("https://www.diodes.com/part/view/ZXMC6A09DN8","ZXMC6A09DN8")</f>
        <v>ZXMC6A09DN8</v>
      </c>
      <c r="B1921" t="str">
        <f>Hyperlink("https://www.diodes.com/assets/Datasheets/ZXMC6A09DN8.pdf","ZXMC6A09DN8 Datasheet")</f>
        <v>ZXMC6A09DN8 Datasheet</v>
      </c>
      <c r="C1921" t="s">
        <v>68</v>
      </c>
      <c r="D1921" t="s">
        <v>25</v>
      </c>
      <c r="E1921" t="s">
        <v>26</v>
      </c>
      <c r="F1921" t="s">
        <v>69</v>
      </c>
      <c r="G1921" t="s">
        <v>28</v>
      </c>
      <c r="H1921" t="s">
        <v>454</v>
      </c>
      <c r="I1921" t="s">
        <v>71</v>
      </c>
      <c r="J1921" t="s">
        <v>1127</v>
      </c>
      <c r="L1921">
        <v>1.8</v>
      </c>
      <c r="N1921" t="s">
        <v>1128</v>
      </c>
      <c r="O1921" t="s">
        <v>1129</v>
      </c>
      <c r="S1921" t="s">
        <v>121</v>
      </c>
      <c r="T1921" t="s">
        <v>1130</v>
      </c>
      <c r="U1921" t="s">
        <v>1131</v>
      </c>
      <c r="V1921" t="s">
        <v>1132</v>
      </c>
      <c r="W1921" t="s">
        <v>273</v>
      </c>
      <c r="X1921" t="s">
        <v>155</v>
      </c>
    </row>
    <row r="1922" spans="1:24">
      <c r="A1922" t="str">
        <f>Hyperlink("https://www.diodes.com/part/view/ZXMD63N03X","ZXMD63N03X")</f>
        <v>ZXMD63N03X</v>
      </c>
      <c r="B1922" t="str">
        <f>Hyperlink("https://www.diodes.com/assets/Datasheets/ZXMD63N03X.pdf","ZXMD63N03X Datasheet")</f>
        <v>ZXMD63N03X Datasheet</v>
      </c>
      <c r="C1922" t="s">
        <v>928</v>
      </c>
      <c r="D1922" t="s">
        <v>25</v>
      </c>
      <c r="E1922" t="s">
        <v>26</v>
      </c>
      <c r="F1922" t="s">
        <v>35</v>
      </c>
      <c r="G1922" t="s">
        <v>28</v>
      </c>
      <c r="H1922">
        <v>30</v>
      </c>
      <c r="I1922">
        <v>20</v>
      </c>
      <c r="J1922">
        <v>2.3</v>
      </c>
      <c r="L1922">
        <v>1.25</v>
      </c>
      <c r="N1922">
        <v>135</v>
      </c>
      <c r="O1922">
        <v>200</v>
      </c>
      <c r="U1922">
        <v>8</v>
      </c>
      <c r="V1922">
        <v>290</v>
      </c>
      <c r="X1922" t="s">
        <v>1086</v>
      </c>
    </row>
    <row r="1923" spans="1:24">
      <c r="A1923" t="str">
        <f>Hyperlink("https://www.diodes.com/part/view/ZXMHC10A07N8","ZXMHC10A07N8")</f>
        <v>ZXMHC10A07N8</v>
      </c>
      <c r="B1923" t="str">
        <f>Hyperlink("https://www.diodes.com/assets/Datasheets/ZXMHC10A07N8.pdf","ZXMHC10A07N8 Datasheet")</f>
        <v>ZXMHC10A07N8 Datasheet</v>
      </c>
      <c r="C1923" t="s">
        <v>1133</v>
      </c>
      <c r="D1923" t="s">
        <v>28</v>
      </c>
      <c r="E1923" t="s">
        <v>26</v>
      </c>
      <c r="F1923" t="s">
        <v>532</v>
      </c>
      <c r="G1923" t="s">
        <v>28</v>
      </c>
      <c r="H1923">
        <v>100</v>
      </c>
      <c r="I1923">
        <v>20</v>
      </c>
      <c r="J1923" t="s">
        <v>1134</v>
      </c>
      <c r="L1923">
        <v>0.87</v>
      </c>
      <c r="N1923" t="s">
        <v>1135</v>
      </c>
      <c r="U1923" t="s">
        <v>1136</v>
      </c>
      <c r="V1923" t="s">
        <v>1137</v>
      </c>
      <c r="W1923" t="s">
        <v>70</v>
      </c>
      <c r="X1923" t="s">
        <v>155</v>
      </c>
    </row>
    <row r="1924" spans="1:24">
      <c r="A1924" t="str">
        <f>Hyperlink("https://www.diodes.com/part/view/ZXMHC10A07T8","ZXMHC10A07T8")</f>
        <v>ZXMHC10A07T8</v>
      </c>
      <c r="B1924" t="str">
        <f>Hyperlink("https://www.diodes.com/assets/Datasheets/ZXMHC10A07T8.pdf","ZXMHC10A07T8 Datasheet")</f>
        <v>ZXMHC10A07T8 Datasheet</v>
      </c>
      <c r="C1924" t="s">
        <v>1138</v>
      </c>
      <c r="D1924" t="s">
        <v>28</v>
      </c>
      <c r="E1924" t="s">
        <v>26</v>
      </c>
      <c r="F1924" t="s">
        <v>532</v>
      </c>
      <c r="G1924" t="s">
        <v>28</v>
      </c>
      <c r="H1924">
        <v>100</v>
      </c>
      <c r="I1924">
        <v>20</v>
      </c>
      <c r="J1924" t="s">
        <v>1139</v>
      </c>
      <c r="L1924">
        <v>1.3</v>
      </c>
      <c r="N1924" t="s">
        <v>1135</v>
      </c>
      <c r="U1924" t="s">
        <v>1136</v>
      </c>
      <c r="V1924" t="s">
        <v>1137</v>
      </c>
      <c r="W1924" t="s">
        <v>70</v>
      </c>
      <c r="X1924" t="s">
        <v>1140</v>
      </c>
    </row>
    <row r="1925" spans="1:24">
      <c r="A1925" t="str">
        <f>Hyperlink("https://www.diodes.com/part/view/ZXMHC3A01N8","ZXMHC3A01N8")</f>
        <v>ZXMHC3A01N8</v>
      </c>
      <c r="B1925" t="str">
        <f>Hyperlink("https://www.diodes.com/assets/Datasheets/ZXMHC3A01N8.pdf","ZXMHC3A01N8 Datasheet")</f>
        <v>ZXMHC3A01N8 Datasheet</v>
      </c>
      <c r="C1925" t="s">
        <v>1141</v>
      </c>
      <c r="D1925" t="s">
        <v>28</v>
      </c>
      <c r="E1925" t="s">
        <v>26</v>
      </c>
      <c r="F1925" t="s">
        <v>532</v>
      </c>
      <c r="G1925" t="s">
        <v>28</v>
      </c>
      <c r="H1925">
        <v>30</v>
      </c>
      <c r="I1925">
        <v>20</v>
      </c>
      <c r="J1925" t="s">
        <v>1142</v>
      </c>
      <c r="L1925">
        <v>0.87</v>
      </c>
      <c r="N1925" t="s">
        <v>1143</v>
      </c>
      <c r="O1925" t="s">
        <v>1107</v>
      </c>
      <c r="U1925" t="s">
        <v>1144</v>
      </c>
      <c r="V1925" t="s">
        <v>1145</v>
      </c>
      <c r="W1925" t="s">
        <v>422</v>
      </c>
      <c r="X1925" t="s">
        <v>155</v>
      </c>
    </row>
    <row r="1926" spans="1:24">
      <c r="A1926" t="str">
        <f>Hyperlink("https://www.diodes.com/part/view/ZXMHC3A01T8","ZXMHC3A01T8")</f>
        <v>ZXMHC3A01T8</v>
      </c>
      <c r="B1926" t="str">
        <f>Hyperlink("https://www.diodes.com/assets/Datasheets/ZXMHC3A01T8.pdf","ZXMHC3A01T8 Datasheet")</f>
        <v>ZXMHC3A01T8 Datasheet</v>
      </c>
      <c r="C1926" t="s">
        <v>1146</v>
      </c>
      <c r="D1926" t="s">
        <v>28</v>
      </c>
      <c r="E1926" t="s">
        <v>26</v>
      </c>
      <c r="F1926" t="s">
        <v>532</v>
      </c>
      <c r="G1926" t="s">
        <v>28</v>
      </c>
      <c r="H1926">
        <v>30</v>
      </c>
      <c r="I1926">
        <v>20</v>
      </c>
      <c r="J1926" t="s">
        <v>1147</v>
      </c>
      <c r="L1926">
        <v>1.3</v>
      </c>
      <c r="N1926" t="s">
        <v>1106</v>
      </c>
      <c r="O1926" t="s">
        <v>1107</v>
      </c>
      <c r="U1926" t="s">
        <v>1144</v>
      </c>
      <c r="V1926" t="s">
        <v>1145</v>
      </c>
      <c r="W1926" t="s">
        <v>422</v>
      </c>
      <c r="X1926" t="s">
        <v>1140</v>
      </c>
    </row>
    <row r="1927" spans="1:24">
      <c r="A1927" t="str">
        <f>Hyperlink("https://www.diodes.com/part/view/ZXMHC3F381N8","ZXMHC3F381N8")</f>
        <v>ZXMHC3F381N8</v>
      </c>
      <c r="B1927" t="str">
        <f>Hyperlink("https://www.diodes.com/assets/Datasheets/ZXMHC3F381N8.pdf","ZXMHC3F381N8 Datasheet")</f>
        <v>ZXMHC3F381N8 Datasheet</v>
      </c>
      <c r="C1927" t="s">
        <v>1141</v>
      </c>
      <c r="D1927" t="s">
        <v>28</v>
      </c>
      <c r="E1927" t="s">
        <v>26</v>
      </c>
      <c r="F1927" t="s">
        <v>532</v>
      </c>
      <c r="G1927" t="s">
        <v>28</v>
      </c>
      <c r="H1927">
        <v>30</v>
      </c>
      <c r="I1927">
        <v>20</v>
      </c>
      <c r="J1927" t="s">
        <v>1148</v>
      </c>
      <c r="L1927">
        <v>0.87</v>
      </c>
      <c r="N1927" t="s">
        <v>1149</v>
      </c>
      <c r="O1927" t="s">
        <v>1150</v>
      </c>
      <c r="U1927" t="s">
        <v>1151</v>
      </c>
      <c r="V1927" t="s">
        <v>1152</v>
      </c>
      <c r="W1927" t="s">
        <v>273</v>
      </c>
      <c r="X1927" t="s">
        <v>155</v>
      </c>
    </row>
    <row r="1928" spans="1:24">
      <c r="A1928" t="str">
        <f>Hyperlink("https://www.diodes.com/part/view/ZXMHC6A07N8","ZXMHC6A07N8")</f>
        <v>ZXMHC6A07N8</v>
      </c>
      <c r="B1928" t="str">
        <f>Hyperlink("https://www.diodes.com/assets/Datasheets/ZXMHC6A07N8.pdf","ZXMHC6A07N8 Datasheet")</f>
        <v>ZXMHC6A07N8 Datasheet</v>
      </c>
      <c r="C1928" t="s">
        <v>1153</v>
      </c>
      <c r="D1928" t="s">
        <v>28</v>
      </c>
      <c r="E1928" t="s">
        <v>26</v>
      </c>
      <c r="F1928" t="s">
        <v>532</v>
      </c>
      <c r="G1928" t="s">
        <v>28</v>
      </c>
      <c r="H1928">
        <v>60</v>
      </c>
      <c r="I1928">
        <v>20</v>
      </c>
      <c r="J1928" t="s">
        <v>1154</v>
      </c>
      <c r="L1928">
        <v>0.87</v>
      </c>
      <c r="N1928" t="s">
        <v>1155</v>
      </c>
      <c r="O1928" t="s">
        <v>1156</v>
      </c>
      <c r="U1928" t="s">
        <v>1157</v>
      </c>
      <c r="V1928" t="s">
        <v>1158</v>
      </c>
      <c r="W1928" t="s">
        <v>1159</v>
      </c>
      <c r="X1928" t="s">
        <v>155</v>
      </c>
    </row>
    <row r="1929" spans="1:24">
      <c r="A1929" t="str">
        <f>Hyperlink("https://www.diodes.com/part/view/ZXMHC6A07T8","ZXMHC6A07T8")</f>
        <v>ZXMHC6A07T8</v>
      </c>
      <c r="B1929" t="str">
        <f>Hyperlink("https://www.diodes.com/assets/Datasheets/ZXMHC6A07T8.pdf","ZXMHC6A07T8 Datasheet")</f>
        <v>ZXMHC6A07T8 Datasheet</v>
      </c>
      <c r="C1929" t="s">
        <v>1160</v>
      </c>
      <c r="D1929" t="s">
        <v>28</v>
      </c>
      <c r="E1929" t="s">
        <v>26</v>
      </c>
      <c r="F1929" t="s">
        <v>532</v>
      </c>
      <c r="G1929" t="s">
        <v>28</v>
      </c>
      <c r="H1929">
        <v>60</v>
      </c>
      <c r="I1929">
        <v>20</v>
      </c>
      <c r="J1929" t="s">
        <v>1161</v>
      </c>
      <c r="L1929">
        <v>1.3</v>
      </c>
      <c r="N1929" t="s">
        <v>1162</v>
      </c>
      <c r="O1929" t="s">
        <v>1163</v>
      </c>
      <c r="U1929" t="s">
        <v>1157</v>
      </c>
      <c r="V1929" t="s">
        <v>1164</v>
      </c>
      <c r="W1929" t="s">
        <v>1165</v>
      </c>
      <c r="X1929" t="s">
        <v>1140</v>
      </c>
    </row>
    <row r="1930" spans="1:24">
      <c r="A1930" t="str">
        <f>Hyperlink("https://www.diodes.com/part/view/ZXMHN6A07T8","ZXMHN6A07T8")</f>
        <v>ZXMHN6A07T8</v>
      </c>
      <c r="B1930" t="str">
        <f>Hyperlink("https://www.diodes.com/assets/Datasheets/ZXMHN6A07T8.pdf","ZXMHN6A07T8 Datasheet")</f>
        <v>ZXMHN6A07T8 Datasheet</v>
      </c>
      <c r="C1930" t="s">
        <v>1166</v>
      </c>
      <c r="D1930" t="s">
        <v>28</v>
      </c>
      <c r="E1930" t="s">
        <v>26</v>
      </c>
      <c r="F1930" t="s">
        <v>556</v>
      </c>
      <c r="G1930" t="s">
        <v>28</v>
      </c>
      <c r="H1930">
        <v>60</v>
      </c>
      <c r="I1930">
        <v>20</v>
      </c>
      <c r="J1930">
        <v>1.4</v>
      </c>
      <c r="L1930">
        <v>1.1</v>
      </c>
      <c r="N1930">
        <v>300</v>
      </c>
      <c r="O1930">
        <v>450</v>
      </c>
      <c r="U1930">
        <v>3.2</v>
      </c>
      <c r="V1930">
        <v>166</v>
      </c>
      <c r="W1930">
        <v>40</v>
      </c>
      <c r="X1930" t="s">
        <v>1140</v>
      </c>
    </row>
    <row r="1931" spans="1:24">
      <c r="A1931" t="str">
        <f>Hyperlink("https://www.diodes.com/part/view/ZXMN10A07F","ZXMN10A07F")</f>
        <v>ZXMN10A07F</v>
      </c>
      <c r="B1931" t="str">
        <f>Hyperlink("https://www.diodes.com/assets/Datasheets/ZXMN10A07F.pdf","ZXMN10A07F Datasheet")</f>
        <v>ZXMN10A07F Datasheet</v>
      </c>
      <c r="C1931" t="s">
        <v>24</v>
      </c>
      <c r="D1931" t="s">
        <v>25</v>
      </c>
      <c r="E1931" t="s">
        <v>26</v>
      </c>
      <c r="F1931" t="s">
        <v>27</v>
      </c>
      <c r="G1931" t="s">
        <v>28</v>
      </c>
      <c r="H1931">
        <v>100</v>
      </c>
      <c r="I1931">
        <v>20</v>
      </c>
      <c r="J1931">
        <v>0.7</v>
      </c>
      <c r="L1931">
        <v>0.625</v>
      </c>
      <c r="N1931">
        <v>700</v>
      </c>
      <c r="O1931" t="s">
        <v>591</v>
      </c>
      <c r="S1931">
        <v>4</v>
      </c>
      <c r="U1931">
        <v>2.9</v>
      </c>
      <c r="V1931">
        <v>138</v>
      </c>
      <c r="X1931" t="s">
        <v>32</v>
      </c>
    </row>
    <row r="1932" spans="1:24">
      <c r="A1932" t="str">
        <f>Hyperlink("https://www.diodes.com/part/view/ZXMN10A07Z","ZXMN10A07Z")</f>
        <v>ZXMN10A07Z</v>
      </c>
      <c r="B1932" t="str">
        <f>Hyperlink("https://www.diodes.com/assets/Datasheets/ZXMN10A07Z.pdf","ZXMN10A07Z Datasheet")</f>
        <v>ZXMN10A07Z Datasheet</v>
      </c>
      <c r="C1932" t="s">
        <v>1167</v>
      </c>
      <c r="D1932" t="s">
        <v>25</v>
      </c>
      <c r="E1932" t="s">
        <v>26</v>
      </c>
      <c r="F1932" t="s">
        <v>27</v>
      </c>
      <c r="G1932" t="s">
        <v>28</v>
      </c>
      <c r="H1932">
        <v>100</v>
      </c>
      <c r="I1932">
        <v>20</v>
      </c>
      <c r="J1932">
        <v>1</v>
      </c>
      <c r="L1932">
        <v>1.5</v>
      </c>
      <c r="N1932">
        <v>700</v>
      </c>
      <c r="O1932" t="s">
        <v>591</v>
      </c>
      <c r="S1932">
        <v>4</v>
      </c>
      <c r="U1932">
        <v>2.9</v>
      </c>
      <c r="V1932">
        <v>138</v>
      </c>
      <c r="X1932" t="s">
        <v>731</v>
      </c>
    </row>
    <row r="1933" spans="1:24">
      <c r="A1933" t="str">
        <f>Hyperlink("https://www.diodes.com/part/view/ZXMN10A08DN8","ZXMN10A08DN8")</f>
        <v>ZXMN10A08DN8</v>
      </c>
      <c r="B1933" t="str">
        <f>Hyperlink("https://www.diodes.com/assets/Datasheets/ZXMN10A08DN8.pdf","ZXMN10A08DN8 Datasheet")</f>
        <v>ZXMN10A08DN8 Datasheet</v>
      </c>
      <c r="C1933" t="s">
        <v>34</v>
      </c>
      <c r="D1933" t="s">
        <v>25</v>
      </c>
      <c r="E1933" t="s">
        <v>26</v>
      </c>
      <c r="F1933" t="s">
        <v>35</v>
      </c>
      <c r="G1933" t="s">
        <v>28</v>
      </c>
      <c r="H1933">
        <v>100</v>
      </c>
      <c r="I1933">
        <v>20</v>
      </c>
      <c r="J1933">
        <v>2.1</v>
      </c>
      <c r="L1933">
        <v>1.25</v>
      </c>
      <c r="N1933">
        <v>250</v>
      </c>
      <c r="O1933" t="s">
        <v>1168</v>
      </c>
      <c r="T1933" t="s">
        <v>1169</v>
      </c>
      <c r="U1933">
        <v>7.7</v>
      </c>
      <c r="V1933">
        <v>405</v>
      </c>
      <c r="X1933" t="s">
        <v>155</v>
      </c>
    </row>
    <row r="1934" spans="1:24">
      <c r="A1934" t="str">
        <f>Hyperlink("https://www.diodes.com/part/view/ZXMN10A08E6","ZXMN10A08E6")</f>
        <v>ZXMN10A08E6</v>
      </c>
      <c r="B1934" t="str">
        <f>Hyperlink("https://www.diodes.com/assets/Datasheets/ZXMN10A08E6.pdf","ZXMN10A08E6 Datasheet")</f>
        <v>ZXMN10A08E6 Datasheet</v>
      </c>
      <c r="C1934" t="s">
        <v>24</v>
      </c>
      <c r="D1934" t="s">
        <v>25</v>
      </c>
      <c r="E1934" t="s">
        <v>26</v>
      </c>
      <c r="F1934" t="s">
        <v>27</v>
      </c>
      <c r="G1934" t="s">
        <v>28</v>
      </c>
      <c r="H1934">
        <v>100</v>
      </c>
      <c r="I1934">
        <v>20</v>
      </c>
      <c r="J1934">
        <v>1.5</v>
      </c>
      <c r="L1934">
        <v>1.1</v>
      </c>
      <c r="N1934">
        <v>250</v>
      </c>
      <c r="O1934" t="s">
        <v>1168</v>
      </c>
      <c r="S1934">
        <v>4</v>
      </c>
      <c r="T1934" t="s">
        <v>1169</v>
      </c>
      <c r="U1934">
        <v>7.7</v>
      </c>
      <c r="V1934">
        <v>405</v>
      </c>
      <c r="X1934" t="s">
        <v>261</v>
      </c>
    </row>
    <row r="1935" spans="1:24">
      <c r="A1935" t="str">
        <f>Hyperlink("https://www.diodes.com/part/view/ZXMN10A08G","ZXMN10A08G")</f>
        <v>ZXMN10A08G</v>
      </c>
      <c r="B1935" t="str">
        <f>Hyperlink("https://www.diodes.com/assets/Datasheets/ZXMN10A08G.pdf","ZXMN10A08G Datasheet")</f>
        <v>ZXMN10A08G Datasheet</v>
      </c>
      <c r="C1935" t="s">
        <v>24</v>
      </c>
      <c r="D1935" t="s">
        <v>25</v>
      </c>
      <c r="E1935" t="s">
        <v>26</v>
      </c>
      <c r="F1935" t="s">
        <v>27</v>
      </c>
      <c r="G1935" t="s">
        <v>28</v>
      </c>
      <c r="H1935">
        <v>100</v>
      </c>
      <c r="I1935">
        <v>20</v>
      </c>
      <c r="J1935">
        <v>2.9</v>
      </c>
      <c r="L1935">
        <v>2</v>
      </c>
      <c r="N1935">
        <v>250</v>
      </c>
      <c r="O1935" t="s">
        <v>1168</v>
      </c>
      <c r="T1935" t="s">
        <v>1169</v>
      </c>
      <c r="U1935">
        <v>7.7</v>
      </c>
      <c r="V1935">
        <v>405</v>
      </c>
      <c r="X1935" t="s">
        <v>1049</v>
      </c>
    </row>
    <row r="1936" spans="1:24">
      <c r="A1936" t="str">
        <f>Hyperlink("https://www.diodes.com/part/view/ZXMN10A09K","ZXMN10A09K")</f>
        <v>ZXMN10A09K</v>
      </c>
      <c r="B1936" t="str">
        <f>Hyperlink("https://www.diodes.com/assets/Datasheets/ZXMN10A09K.pdf","ZXMN10A09K Datasheet")</f>
        <v>ZXMN10A09K Datasheet</v>
      </c>
      <c r="C1936" t="s">
        <v>24</v>
      </c>
      <c r="D1936" t="s">
        <v>25</v>
      </c>
      <c r="E1936" t="s">
        <v>26</v>
      </c>
      <c r="F1936" t="s">
        <v>27</v>
      </c>
      <c r="G1936" t="s">
        <v>28</v>
      </c>
      <c r="H1936">
        <v>100</v>
      </c>
      <c r="I1936">
        <v>20</v>
      </c>
      <c r="J1936">
        <v>5</v>
      </c>
      <c r="L1936">
        <v>2.15</v>
      </c>
      <c r="N1936">
        <v>85</v>
      </c>
      <c r="O1936" t="s">
        <v>1170</v>
      </c>
      <c r="S1936">
        <v>4</v>
      </c>
      <c r="T1936" t="s">
        <v>1171</v>
      </c>
      <c r="U1936">
        <v>26</v>
      </c>
      <c r="V1936">
        <v>1313</v>
      </c>
      <c r="X1936" t="s">
        <v>507</v>
      </c>
    </row>
    <row r="1937" spans="1:24">
      <c r="A1937" t="str">
        <f>Hyperlink("https://www.diodes.com/part/view/ZXMN10A11G","ZXMN10A11G")</f>
        <v>ZXMN10A11G</v>
      </c>
      <c r="B1937" t="str">
        <f>Hyperlink("https://www.diodes.com/assets/Datasheets/ZXMN10A11G.pdf","ZXMN10A11G Datasheet")</f>
        <v>ZXMN10A11G Datasheet</v>
      </c>
      <c r="C1937" t="s">
        <v>24</v>
      </c>
      <c r="D1937" t="s">
        <v>25</v>
      </c>
      <c r="E1937" t="s">
        <v>26</v>
      </c>
      <c r="F1937" t="s">
        <v>27</v>
      </c>
      <c r="G1937" t="s">
        <v>28</v>
      </c>
      <c r="H1937">
        <v>100</v>
      </c>
      <c r="I1937">
        <v>20</v>
      </c>
      <c r="J1937">
        <v>1.7</v>
      </c>
      <c r="L1937">
        <v>2</v>
      </c>
      <c r="N1937">
        <v>350</v>
      </c>
      <c r="O1937" t="s">
        <v>1172</v>
      </c>
      <c r="S1937">
        <v>4</v>
      </c>
      <c r="T1937" t="s">
        <v>1173</v>
      </c>
      <c r="U1937">
        <v>5.4</v>
      </c>
      <c r="V1937">
        <v>274</v>
      </c>
      <c r="X1937" t="s">
        <v>1049</v>
      </c>
    </row>
    <row r="1938" spans="1:24">
      <c r="A1938" t="str">
        <f>Hyperlink("https://www.diodes.com/part/view/ZXMN10A11K","ZXMN10A11K")</f>
        <v>ZXMN10A11K</v>
      </c>
      <c r="B1938" t="str">
        <f>Hyperlink("https://www.diodes.com/assets/Datasheets/ZXMN10A11K.pdf","ZXMN10A11K Datasheet")</f>
        <v>ZXMN10A11K Datasheet</v>
      </c>
      <c r="C1938" t="s">
        <v>24</v>
      </c>
      <c r="D1938" t="s">
        <v>25</v>
      </c>
      <c r="E1938" t="s">
        <v>26</v>
      </c>
      <c r="F1938" t="s">
        <v>27</v>
      </c>
      <c r="G1938" t="s">
        <v>28</v>
      </c>
      <c r="H1938">
        <v>100</v>
      </c>
      <c r="I1938">
        <v>20</v>
      </c>
      <c r="J1938">
        <v>2.4</v>
      </c>
      <c r="L1938">
        <v>2.11</v>
      </c>
      <c r="N1938">
        <v>350</v>
      </c>
      <c r="O1938" t="s">
        <v>1172</v>
      </c>
      <c r="S1938">
        <v>4</v>
      </c>
      <c r="T1938" t="s">
        <v>1173</v>
      </c>
      <c r="U1938">
        <v>5.4</v>
      </c>
      <c r="V1938">
        <v>274</v>
      </c>
      <c r="X1938" t="s">
        <v>507</v>
      </c>
    </row>
    <row r="1939" spans="1:24">
      <c r="A1939" t="str">
        <f>Hyperlink("https://www.diodes.com/part/view/ZXMN10A25G","ZXMN10A25G")</f>
        <v>ZXMN10A25G</v>
      </c>
      <c r="B1939" t="str">
        <f>Hyperlink("https://www.diodes.com/assets/Datasheets/ZXMN10A25G.pdf","ZXMN10A25G Datasheet")</f>
        <v>ZXMN10A25G Datasheet</v>
      </c>
      <c r="C1939" t="s">
        <v>24</v>
      </c>
      <c r="D1939" t="s">
        <v>25</v>
      </c>
      <c r="E1939" t="s">
        <v>26</v>
      </c>
      <c r="F1939" t="s">
        <v>27</v>
      </c>
      <c r="G1939" t="s">
        <v>28</v>
      </c>
      <c r="H1939">
        <v>100</v>
      </c>
      <c r="I1939">
        <v>20</v>
      </c>
      <c r="J1939">
        <v>2.9</v>
      </c>
      <c r="L1939">
        <v>2</v>
      </c>
      <c r="N1939">
        <v>125</v>
      </c>
      <c r="O1939" t="s">
        <v>1174</v>
      </c>
      <c r="S1939">
        <v>4</v>
      </c>
      <c r="T1939" t="s">
        <v>1175</v>
      </c>
      <c r="U1939">
        <v>17</v>
      </c>
      <c r="V1939">
        <v>859</v>
      </c>
      <c r="X1939" t="s">
        <v>1049</v>
      </c>
    </row>
    <row r="1940" spans="1:24">
      <c r="A1940" t="str">
        <f>Hyperlink("https://www.diodes.com/part/view/ZXMN10A25K","ZXMN10A25K")</f>
        <v>ZXMN10A25K</v>
      </c>
      <c r="B1940" t="str">
        <f>Hyperlink("https://www.diodes.com/assets/Datasheets/ZXMN10A25K.pdf","ZXMN10A25K Datasheet")</f>
        <v>ZXMN10A25K Datasheet</v>
      </c>
      <c r="C1940" t="s">
        <v>24</v>
      </c>
      <c r="D1940" t="s">
        <v>25</v>
      </c>
      <c r="E1940" t="s">
        <v>26</v>
      </c>
      <c r="F1940" t="s">
        <v>27</v>
      </c>
      <c r="G1940" t="s">
        <v>28</v>
      </c>
      <c r="H1940">
        <v>100</v>
      </c>
      <c r="I1940">
        <v>20</v>
      </c>
      <c r="J1940">
        <v>4.2</v>
      </c>
      <c r="L1940">
        <v>2.11</v>
      </c>
      <c r="N1940">
        <v>125</v>
      </c>
      <c r="O1940" t="s">
        <v>1174</v>
      </c>
      <c r="S1940">
        <v>4</v>
      </c>
      <c r="T1940" t="s">
        <v>1175</v>
      </c>
      <c r="U1940">
        <v>17.16</v>
      </c>
      <c r="V1940">
        <v>859</v>
      </c>
      <c r="X1940" t="s">
        <v>507</v>
      </c>
    </row>
    <row r="1941" spans="1:24">
      <c r="A1941" t="str">
        <f>Hyperlink("https://www.diodes.com/part/view/ZXMN10B08E6","ZXMN10B08E6")</f>
        <v>ZXMN10B08E6</v>
      </c>
      <c r="B1941" t="str">
        <f>Hyperlink("https://www.diodes.com/assets/Datasheets/ZXMN10B08E6.pdf","ZXMN10B08E6 Datasheet")</f>
        <v>ZXMN10B08E6 Datasheet</v>
      </c>
      <c r="C1941" t="s">
        <v>24</v>
      </c>
      <c r="D1941" t="s">
        <v>25</v>
      </c>
      <c r="E1941" t="s">
        <v>26</v>
      </c>
      <c r="F1941" t="s">
        <v>27</v>
      </c>
      <c r="G1941" t="s">
        <v>28</v>
      </c>
      <c r="H1941">
        <v>100</v>
      </c>
      <c r="I1941">
        <v>20</v>
      </c>
      <c r="J1941">
        <v>1.6</v>
      </c>
      <c r="L1941">
        <v>1.1</v>
      </c>
      <c r="N1941">
        <v>230</v>
      </c>
      <c r="O1941">
        <v>300</v>
      </c>
      <c r="S1941">
        <v>3</v>
      </c>
      <c r="T1941" t="s">
        <v>1003</v>
      </c>
      <c r="U1941">
        <v>9.2</v>
      </c>
      <c r="V1941">
        <v>497</v>
      </c>
      <c r="X1941" t="s">
        <v>261</v>
      </c>
    </row>
    <row r="1942" spans="1:24">
      <c r="A1942" t="str">
        <f>Hyperlink("https://www.diodes.com/part/view/ZXMN15A27K","ZXMN15A27K")</f>
        <v>ZXMN15A27K</v>
      </c>
      <c r="B1942" t="str">
        <f>Hyperlink("https://www.diodes.com/assets/Datasheets/ZXMN15A27K.pdf","ZXMN15A27K Datasheet")</f>
        <v>ZXMN15A27K Datasheet</v>
      </c>
      <c r="C1942" t="s">
        <v>24</v>
      </c>
      <c r="D1942" t="s">
        <v>25</v>
      </c>
      <c r="E1942" t="s">
        <v>26</v>
      </c>
      <c r="F1942" t="s">
        <v>27</v>
      </c>
      <c r="G1942" t="s">
        <v>28</v>
      </c>
      <c r="H1942">
        <v>150</v>
      </c>
      <c r="I1942">
        <v>25</v>
      </c>
      <c r="J1942">
        <v>1.7</v>
      </c>
      <c r="L1942">
        <v>2.2</v>
      </c>
      <c r="N1942">
        <v>650</v>
      </c>
      <c r="S1942">
        <v>4</v>
      </c>
      <c r="U1942">
        <v>6.6</v>
      </c>
      <c r="V1942" t="s">
        <v>1176</v>
      </c>
      <c r="X1942" t="s">
        <v>507</v>
      </c>
    </row>
    <row r="1943" spans="1:24">
      <c r="A1943" t="str">
        <f>Hyperlink("https://www.diodes.com/part/view/ZXMN20B28K","ZXMN20B28K")</f>
        <v>ZXMN20B28K</v>
      </c>
      <c r="B1943" t="str">
        <f>Hyperlink("https://www.diodes.com/assets/Datasheets/ZXMN20B28K.pdf","ZXMN20B28K Datasheet")</f>
        <v>ZXMN20B28K Datasheet</v>
      </c>
      <c r="C1943" t="s">
        <v>24</v>
      </c>
      <c r="D1943" t="s">
        <v>25</v>
      </c>
      <c r="E1943" t="s">
        <v>26</v>
      </c>
      <c r="F1943" t="s">
        <v>27</v>
      </c>
      <c r="G1943" t="s">
        <v>28</v>
      </c>
      <c r="H1943">
        <v>200</v>
      </c>
      <c r="I1943">
        <v>20</v>
      </c>
      <c r="J1943">
        <v>1.5</v>
      </c>
      <c r="L1943">
        <v>2.2</v>
      </c>
      <c r="N1943">
        <v>750</v>
      </c>
      <c r="O1943" t="s">
        <v>1177</v>
      </c>
      <c r="S1943">
        <v>2.5</v>
      </c>
      <c r="T1943" t="s">
        <v>1178</v>
      </c>
      <c r="V1943" t="s">
        <v>1179</v>
      </c>
      <c r="X1943" t="s">
        <v>507</v>
      </c>
    </row>
    <row r="1944" spans="1:24">
      <c r="A1944" t="str">
        <f>Hyperlink("https://www.diodes.com/part/view/ZXMN2A01E6","ZXMN2A01E6")</f>
        <v>ZXMN2A01E6</v>
      </c>
      <c r="B1944" t="str">
        <f>Hyperlink("https://www.diodes.com/assets/Datasheets/ZXMN2A01E6.pdf","ZXMN2A01E6 Datasheet")</f>
        <v>ZXMN2A01E6 Datasheet</v>
      </c>
      <c r="C1944" t="s">
        <v>496</v>
      </c>
      <c r="D1944" t="s">
        <v>25</v>
      </c>
      <c r="E1944" t="s">
        <v>26</v>
      </c>
      <c r="F1944" t="s">
        <v>27</v>
      </c>
      <c r="G1944" t="s">
        <v>28</v>
      </c>
      <c r="H1944">
        <v>20</v>
      </c>
      <c r="I1944">
        <v>12</v>
      </c>
      <c r="J1944">
        <v>2.5</v>
      </c>
      <c r="L1944">
        <v>1.1</v>
      </c>
      <c r="O1944">
        <v>120</v>
      </c>
      <c r="P1944">
        <v>225</v>
      </c>
      <c r="R1944">
        <v>0.7</v>
      </c>
      <c r="T1944">
        <v>3</v>
      </c>
      <c r="V1944">
        <v>310</v>
      </c>
      <c r="X1944" t="s">
        <v>261</v>
      </c>
    </row>
    <row r="1945" spans="1:24">
      <c r="A1945" t="str">
        <f>Hyperlink("https://www.diodes.com/part/view/ZXMN2A01F","ZXMN2A01F")</f>
        <v>ZXMN2A01F</v>
      </c>
      <c r="B1945" t="str">
        <f>Hyperlink("https://www.diodes.com/assets/Datasheets/ZXMN2A01F.pdf","ZXMN2A01F Datasheet")</f>
        <v>ZXMN2A01F Datasheet</v>
      </c>
      <c r="C1945" t="s">
        <v>496</v>
      </c>
      <c r="D1945" t="s">
        <v>25</v>
      </c>
      <c r="E1945" t="s">
        <v>26</v>
      </c>
      <c r="F1945" t="s">
        <v>27</v>
      </c>
      <c r="G1945" t="s">
        <v>28</v>
      </c>
      <c r="H1945">
        <v>20</v>
      </c>
      <c r="I1945">
        <v>12</v>
      </c>
      <c r="J1945">
        <v>1.9</v>
      </c>
      <c r="L1945">
        <v>0.625</v>
      </c>
      <c r="O1945">
        <v>120</v>
      </c>
      <c r="P1945">
        <v>225</v>
      </c>
      <c r="R1945">
        <v>0.7</v>
      </c>
      <c r="U1945">
        <v>3</v>
      </c>
      <c r="V1945">
        <v>310</v>
      </c>
      <c r="X1945" t="s">
        <v>32</v>
      </c>
    </row>
    <row r="1946" spans="1:24">
      <c r="A1946" t="str">
        <f>Hyperlink("https://www.diodes.com/part/view/ZXMN2A02N8","ZXMN2A02N8")</f>
        <v>ZXMN2A02N8</v>
      </c>
      <c r="B1946" t="str">
        <f>Hyperlink("https://www.diodes.com/assets/Datasheets/ZXMN2A02N8.pdf","ZXMN2A02N8 Datasheet")</f>
        <v>ZXMN2A02N8 Datasheet</v>
      </c>
      <c r="C1946" t="s">
        <v>496</v>
      </c>
      <c r="D1946" t="s">
        <v>25</v>
      </c>
      <c r="E1946" t="s">
        <v>26</v>
      </c>
      <c r="F1946" t="s">
        <v>27</v>
      </c>
      <c r="G1946" t="s">
        <v>28</v>
      </c>
      <c r="H1946">
        <v>20</v>
      </c>
      <c r="I1946">
        <v>12</v>
      </c>
      <c r="J1946">
        <v>8.3</v>
      </c>
      <c r="L1946">
        <v>1.56</v>
      </c>
      <c r="O1946">
        <v>20</v>
      </c>
      <c r="P1946">
        <v>40</v>
      </c>
      <c r="R1946">
        <v>0.7</v>
      </c>
      <c r="T1946">
        <v>18.9</v>
      </c>
      <c r="V1946">
        <v>1900</v>
      </c>
      <c r="X1946" t="s">
        <v>155</v>
      </c>
    </row>
    <row r="1947" spans="1:24">
      <c r="A1947" t="str">
        <f>Hyperlink("https://www.diodes.com/part/view/ZXMN2A03E6","ZXMN2A03E6")</f>
        <v>ZXMN2A03E6</v>
      </c>
      <c r="B1947" t="str">
        <f>Hyperlink("https://www.diodes.com/assets/Datasheets/ZXMN2A03E6.pdf","ZXMN2A03E6 Datasheet")</f>
        <v>ZXMN2A03E6 Datasheet</v>
      </c>
      <c r="C1947" t="s">
        <v>496</v>
      </c>
      <c r="D1947" t="s">
        <v>25</v>
      </c>
      <c r="E1947" t="s">
        <v>26</v>
      </c>
      <c r="F1947" t="s">
        <v>27</v>
      </c>
      <c r="G1947" t="s">
        <v>28</v>
      </c>
      <c r="H1947">
        <v>20</v>
      </c>
      <c r="I1947">
        <v>12</v>
      </c>
      <c r="J1947">
        <v>3.7</v>
      </c>
      <c r="L1947">
        <v>1.1</v>
      </c>
      <c r="O1947">
        <v>55</v>
      </c>
      <c r="P1947">
        <v>100</v>
      </c>
      <c r="R1947">
        <v>0.7</v>
      </c>
      <c r="T1947">
        <v>8.2</v>
      </c>
      <c r="V1947">
        <v>837</v>
      </c>
      <c r="X1947" t="s">
        <v>261</v>
      </c>
    </row>
    <row r="1948" spans="1:24">
      <c r="A1948" t="str">
        <f>Hyperlink("https://www.diodes.com/part/view/ZXMN2A04DN8","ZXMN2A04DN8")</f>
        <v>ZXMN2A04DN8</v>
      </c>
      <c r="B1948" t="str">
        <f>Hyperlink("https://www.diodes.com/assets/Datasheets/ZXMN2A04DN8.pdf","ZXMN2A04DN8 Datasheet")</f>
        <v>ZXMN2A04DN8 Datasheet</v>
      </c>
      <c r="C1948" t="s">
        <v>496</v>
      </c>
      <c r="D1948" t="s">
        <v>25</v>
      </c>
      <c r="E1948" t="s">
        <v>26</v>
      </c>
      <c r="F1948" t="s">
        <v>35</v>
      </c>
      <c r="G1948" t="s">
        <v>28</v>
      </c>
      <c r="H1948">
        <v>20</v>
      </c>
      <c r="I1948">
        <v>12</v>
      </c>
      <c r="J1948">
        <v>5.9</v>
      </c>
      <c r="L1948">
        <v>1.8</v>
      </c>
      <c r="O1948">
        <v>25</v>
      </c>
      <c r="P1948">
        <v>35</v>
      </c>
      <c r="R1948">
        <v>0.7</v>
      </c>
      <c r="T1948">
        <v>40.5</v>
      </c>
      <c r="V1948">
        <v>1880</v>
      </c>
      <c r="X1948" t="s">
        <v>155</v>
      </c>
    </row>
    <row r="1949" spans="1:24">
      <c r="A1949" t="str">
        <f>Hyperlink("https://www.diodes.com/part/view/ZXMN2A14F","ZXMN2A14F")</f>
        <v>ZXMN2A14F</v>
      </c>
      <c r="B1949" t="str">
        <f>Hyperlink("https://www.diodes.com/assets/Datasheets/ZXMN2A14F.pdf","ZXMN2A14F Datasheet")</f>
        <v>ZXMN2A14F Datasheet</v>
      </c>
      <c r="C1949" t="s">
        <v>496</v>
      </c>
      <c r="D1949" t="s">
        <v>25</v>
      </c>
      <c r="E1949" t="s">
        <v>26</v>
      </c>
      <c r="F1949" t="s">
        <v>27</v>
      </c>
      <c r="G1949" t="s">
        <v>28</v>
      </c>
      <c r="H1949">
        <v>20</v>
      </c>
      <c r="I1949">
        <v>12</v>
      </c>
      <c r="J1949">
        <v>3.4</v>
      </c>
      <c r="L1949">
        <v>1</v>
      </c>
      <c r="O1949">
        <v>60</v>
      </c>
      <c r="P1949">
        <v>110</v>
      </c>
      <c r="R1949">
        <v>0.7</v>
      </c>
      <c r="T1949">
        <v>6.6</v>
      </c>
      <c r="V1949">
        <v>544</v>
      </c>
      <c r="X1949" t="s">
        <v>32</v>
      </c>
    </row>
    <row r="1950" spans="1:24">
      <c r="A1950" t="str">
        <f>Hyperlink("https://www.diodes.com/part/view/ZXMN2AMC","ZXMN2AMC")</f>
        <v>ZXMN2AMC</v>
      </c>
      <c r="B1950" t="str">
        <f>Hyperlink("https://www.diodes.com/assets/Datasheets/ZXMN2AMC.pdf","ZXMN2AMC Datasheet")</f>
        <v>ZXMN2AMC Datasheet</v>
      </c>
      <c r="C1950" t="s">
        <v>496</v>
      </c>
      <c r="D1950" t="s">
        <v>25</v>
      </c>
      <c r="E1950" t="s">
        <v>26</v>
      </c>
      <c r="F1950" t="s">
        <v>35</v>
      </c>
      <c r="G1950" t="s">
        <v>28</v>
      </c>
      <c r="H1950">
        <v>20</v>
      </c>
      <c r="I1950">
        <v>12</v>
      </c>
      <c r="J1950">
        <v>2.9</v>
      </c>
      <c r="L1950">
        <v>1.7</v>
      </c>
      <c r="O1950">
        <v>120</v>
      </c>
      <c r="P1950">
        <v>300</v>
      </c>
      <c r="R1950">
        <v>0.7</v>
      </c>
      <c r="T1950">
        <v>3.1</v>
      </c>
      <c r="V1950">
        <v>310</v>
      </c>
      <c r="X1950" t="s">
        <v>901</v>
      </c>
    </row>
    <row r="1951" spans="1:24">
      <c r="A1951" t="str">
        <f>Hyperlink("https://www.diodes.com/part/view/ZXMN2B01F","ZXMN2B01F")</f>
        <v>ZXMN2B01F</v>
      </c>
      <c r="B1951" t="str">
        <f>Hyperlink("https://www.diodes.com/assets/Datasheets/ZXMN2B01F.pdf","ZXMN2B01F Datasheet")</f>
        <v>ZXMN2B01F Datasheet</v>
      </c>
      <c r="C1951" t="s">
        <v>496</v>
      </c>
      <c r="D1951" t="s">
        <v>25</v>
      </c>
      <c r="E1951" t="s">
        <v>26</v>
      </c>
      <c r="F1951" t="s">
        <v>27</v>
      </c>
      <c r="G1951" t="s">
        <v>28</v>
      </c>
      <c r="H1951">
        <v>20</v>
      </c>
      <c r="I1951">
        <v>8</v>
      </c>
      <c r="J1951">
        <v>2.1</v>
      </c>
      <c r="L1951">
        <v>0.625</v>
      </c>
      <c r="O1951">
        <v>100</v>
      </c>
      <c r="P1951">
        <v>150</v>
      </c>
      <c r="Q1951">
        <v>200</v>
      </c>
      <c r="R1951">
        <v>0.4</v>
      </c>
      <c r="S1951">
        <v>1</v>
      </c>
      <c r="T1951">
        <v>4.8</v>
      </c>
      <c r="V1951">
        <v>370</v>
      </c>
      <c r="X1951" t="s">
        <v>32</v>
      </c>
    </row>
    <row r="1952" spans="1:24">
      <c r="A1952" t="str">
        <f>Hyperlink("https://www.diodes.com/part/view/ZXMN2B03E6","ZXMN2B03E6")</f>
        <v>ZXMN2B03E6</v>
      </c>
      <c r="B1952" t="str">
        <f>Hyperlink("https://www.diodes.com/assets/Datasheets/ZXMN2B03E6.pdf","ZXMN2B03E6 Datasheet")</f>
        <v>ZXMN2B03E6 Datasheet</v>
      </c>
      <c r="C1952" t="s">
        <v>496</v>
      </c>
      <c r="D1952" t="s">
        <v>25</v>
      </c>
      <c r="E1952" t="s">
        <v>26</v>
      </c>
      <c r="F1952" t="s">
        <v>27</v>
      </c>
      <c r="G1952" t="s">
        <v>28</v>
      </c>
      <c r="H1952">
        <v>20</v>
      </c>
      <c r="I1952">
        <v>8</v>
      </c>
      <c r="J1952">
        <v>4.3</v>
      </c>
      <c r="L1952">
        <v>1.1</v>
      </c>
      <c r="O1952">
        <v>40</v>
      </c>
      <c r="P1952">
        <v>55</v>
      </c>
      <c r="Q1952">
        <v>75</v>
      </c>
      <c r="R1952">
        <v>0.4</v>
      </c>
      <c r="S1952">
        <v>1</v>
      </c>
      <c r="T1952">
        <v>14.5</v>
      </c>
      <c r="V1952">
        <v>1160</v>
      </c>
      <c r="X1952" t="s">
        <v>261</v>
      </c>
    </row>
    <row r="1953" spans="1:24">
      <c r="A1953" t="str">
        <f>Hyperlink("https://www.diodes.com/part/view/ZXMN2B14FH","ZXMN2B14FH")</f>
        <v>ZXMN2B14FH</v>
      </c>
      <c r="B1953" t="str">
        <f>Hyperlink("https://www.diodes.com/assets/Datasheets/ZXMN2B14FH.pdf","ZXMN2B14FH Datasheet")</f>
        <v>ZXMN2B14FH Datasheet</v>
      </c>
      <c r="C1953" t="s">
        <v>496</v>
      </c>
      <c r="D1953" t="s">
        <v>25</v>
      </c>
      <c r="E1953" t="s">
        <v>26</v>
      </c>
      <c r="F1953" t="s">
        <v>27</v>
      </c>
      <c r="G1953" t="s">
        <v>28</v>
      </c>
      <c r="H1953">
        <v>20</v>
      </c>
      <c r="I1953">
        <v>8</v>
      </c>
      <c r="J1953">
        <v>3.5</v>
      </c>
      <c r="L1953">
        <v>1</v>
      </c>
      <c r="O1953">
        <v>55</v>
      </c>
      <c r="P1953">
        <v>75</v>
      </c>
      <c r="Q1953">
        <v>100</v>
      </c>
      <c r="S1953">
        <v>1</v>
      </c>
      <c r="T1953">
        <v>11</v>
      </c>
      <c r="V1953">
        <v>872</v>
      </c>
      <c r="X1953" t="s">
        <v>32</v>
      </c>
    </row>
    <row r="1954" spans="1:24">
      <c r="A1954" t="str">
        <f>Hyperlink("https://www.diodes.com/part/view/ZXMN2F30FH","ZXMN2F30FH")</f>
        <v>ZXMN2F30FH</v>
      </c>
      <c r="B1954" t="str">
        <f>Hyperlink("https://www.diodes.com/assets/Datasheets/ZXMN2F30FH.pdf","ZXMN2F30FH Datasheet")</f>
        <v>ZXMN2F30FH Datasheet</v>
      </c>
      <c r="C1954" t="s">
        <v>496</v>
      </c>
      <c r="D1954" t="s">
        <v>25</v>
      </c>
      <c r="E1954" t="s">
        <v>26</v>
      </c>
      <c r="F1954" t="s">
        <v>27</v>
      </c>
      <c r="G1954" t="s">
        <v>28</v>
      </c>
      <c r="H1954">
        <v>20</v>
      </c>
      <c r="I1954">
        <v>12</v>
      </c>
      <c r="J1954">
        <v>4.1</v>
      </c>
      <c r="L1954">
        <v>0.96</v>
      </c>
      <c r="O1954">
        <v>45</v>
      </c>
      <c r="P1954">
        <v>65</v>
      </c>
      <c r="R1954">
        <v>0.6</v>
      </c>
      <c r="S1954">
        <v>1.5</v>
      </c>
      <c r="T1954">
        <v>4.8</v>
      </c>
      <c r="V1954">
        <v>452</v>
      </c>
      <c r="X1954" t="s">
        <v>32</v>
      </c>
    </row>
    <row r="1955" spans="1:24">
      <c r="A1955" t="str">
        <f>Hyperlink("https://www.diodes.com/part/view/ZXMN2F34FH","ZXMN2F34FH")</f>
        <v>ZXMN2F34FH</v>
      </c>
      <c r="B1955" t="str">
        <f>Hyperlink("https://www.diodes.com/assets/Datasheets/ZXMN2F34FH.pdf","ZXMN2F34FH Datasheet")</f>
        <v>ZXMN2F34FH Datasheet</v>
      </c>
      <c r="C1955" t="s">
        <v>496</v>
      </c>
      <c r="D1955" t="s">
        <v>25</v>
      </c>
      <c r="E1955" t="s">
        <v>26</v>
      </c>
      <c r="F1955" t="s">
        <v>27</v>
      </c>
      <c r="G1955" t="s">
        <v>28</v>
      </c>
      <c r="H1955">
        <v>20</v>
      </c>
      <c r="I1955">
        <v>12</v>
      </c>
      <c r="J1955">
        <v>3.4</v>
      </c>
      <c r="L1955">
        <v>0.95</v>
      </c>
      <c r="O1955">
        <v>60</v>
      </c>
      <c r="P1955">
        <v>120</v>
      </c>
      <c r="R1955">
        <v>0.5</v>
      </c>
      <c r="S1955">
        <v>1.5</v>
      </c>
      <c r="T1955">
        <v>2.8</v>
      </c>
      <c r="V1955">
        <v>277</v>
      </c>
      <c r="X1955" t="s">
        <v>32</v>
      </c>
    </row>
    <row r="1956" spans="1:24">
      <c r="A1956" t="str">
        <f>Hyperlink("https://www.diodes.com/part/view/ZXMN3A01E6","ZXMN3A01E6")</f>
        <v>ZXMN3A01E6</v>
      </c>
      <c r="B1956" t="str">
        <f>Hyperlink("https://www.diodes.com/assets/Datasheets/ZXMN3A01E6.pdf","ZXMN3A01E6 Datasheet")</f>
        <v>ZXMN3A01E6 Datasheet</v>
      </c>
      <c r="C1956" t="s">
        <v>24</v>
      </c>
      <c r="D1956" t="s">
        <v>25</v>
      </c>
      <c r="E1956" t="s">
        <v>26</v>
      </c>
      <c r="F1956" t="s">
        <v>27</v>
      </c>
      <c r="G1956" t="s">
        <v>28</v>
      </c>
      <c r="H1956">
        <v>30</v>
      </c>
      <c r="I1956">
        <v>20</v>
      </c>
      <c r="J1956">
        <v>2.4</v>
      </c>
      <c r="L1956">
        <v>1.1</v>
      </c>
      <c r="N1956">
        <v>120</v>
      </c>
      <c r="O1956">
        <v>180</v>
      </c>
      <c r="T1956" t="s">
        <v>1180</v>
      </c>
      <c r="U1956">
        <v>3.9</v>
      </c>
      <c r="V1956">
        <v>190</v>
      </c>
      <c r="X1956" t="s">
        <v>261</v>
      </c>
    </row>
    <row r="1957" spans="1:24">
      <c r="A1957" t="str">
        <f>Hyperlink("https://www.diodes.com/part/view/ZXMN3A01F","ZXMN3A01F")</f>
        <v>ZXMN3A01F</v>
      </c>
      <c r="B1957" t="str">
        <f>Hyperlink("https://www.diodes.com/assets/Datasheets/ZXMN3A01F.pdf","ZXMN3A01F Datasheet")</f>
        <v>ZXMN3A01F Datasheet</v>
      </c>
      <c r="C1957" t="s">
        <v>24</v>
      </c>
      <c r="D1957" t="s">
        <v>25</v>
      </c>
      <c r="E1957" t="s">
        <v>26</v>
      </c>
      <c r="F1957" t="s">
        <v>27</v>
      </c>
      <c r="G1957" t="s">
        <v>28</v>
      </c>
      <c r="H1957">
        <v>30</v>
      </c>
      <c r="I1957">
        <v>20</v>
      </c>
      <c r="J1957">
        <v>1.8</v>
      </c>
      <c r="L1957">
        <v>0.625</v>
      </c>
      <c r="N1957">
        <v>120</v>
      </c>
      <c r="O1957">
        <v>180</v>
      </c>
      <c r="S1957">
        <v>2.5</v>
      </c>
      <c r="T1957" t="s">
        <v>1180</v>
      </c>
      <c r="U1957">
        <v>3.9</v>
      </c>
      <c r="V1957">
        <v>190</v>
      </c>
      <c r="X1957" t="s">
        <v>32</v>
      </c>
    </row>
    <row r="1958" spans="1:24">
      <c r="A1958" t="str">
        <f>Hyperlink("https://www.diodes.com/part/view/ZXMN3A01Z","ZXMN3A01Z")</f>
        <v>ZXMN3A01Z</v>
      </c>
      <c r="B1958" t="str">
        <f>Hyperlink("https://www.diodes.com/assets/Datasheets/ZXMN3A01Z.pdf","ZXMN3A01Z Datasheet")</f>
        <v>ZXMN3A01Z Datasheet</v>
      </c>
      <c r="C1958" t="s">
        <v>24</v>
      </c>
      <c r="D1958" t="s">
        <v>25</v>
      </c>
      <c r="E1958" t="s">
        <v>26</v>
      </c>
      <c r="F1958" t="s">
        <v>27</v>
      </c>
      <c r="G1958" t="s">
        <v>28</v>
      </c>
      <c r="H1958">
        <v>30</v>
      </c>
      <c r="I1958">
        <v>20</v>
      </c>
      <c r="J1958">
        <v>3.3</v>
      </c>
      <c r="L1958">
        <v>2.12</v>
      </c>
      <c r="N1958">
        <v>120</v>
      </c>
      <c r="O1958">
        <v>180</v>
      </c>
      <c r="T1958">
        <v>2.6</v>
      </c>
      <c r="U1958">
        <v>5</v>
      </c>
      <c r="X1958" t="s">
        <v>731</v>
      </c>
    </row>
    <row r="1959" spans="1:24">
      <c r="A1959" t="str">
        <f>Hyperlink("https://www.diodes.com/part/view/ZXMN3A02X8","ZXMN3A02X8")</f>
        <v>ZXMN3A02X8</v>
      </c>
      <c r="B1959" t="str">
        <f>Hyperlink("https://www.diodes.com/assets/Datasheets/ZXMN3A02X8.pdf","ZXMN3A02X8 Datasheet")</f>
        <v>ZXMN3A02X8 Datasheet</v>
      </c>
      <c r="C1959" t="s">
        <v>504</v>
      </c>
      <c r="D1959" t="s">
        <v>25</v>
      </c>
      <c r="E1959" t="s">
        <v>26</v>
      </c>
      <c r="F1959" t="s">
        <v>27</v>
      </c>
      <c r="G1959" t="s">
        <v>28</v>
      </c>
      <c r="H1959">
        <v>30</v>
      </c>
      <c r="I1959">
        <v>20</v>
      </c>
      <c r="J1959">
        <v>5.3</v>
      </c>
      <c r="L1959">
        <v>1.1</v>
      </c>
      <c r="N1959">
        <v>25</v>
      </c>
      <c r="O1959">
        <v>35</v>
      </c>
      <c r="T1959" t="s">
        <v>1181</v>
      </c>
      <c r="U1959">
        <v>26.8</v>
      </c>
      <c r="V1959">
        <v>1400</v>
      </c>
      <c r="X1959" t="s">
        <v>1086</v>
      </c>
    </row>
    <row r="1960" spans="1:24">
      <c r="A1960" t="str">
        <f>Hyperlink("https://www.diodes.com/part/view/ZXMN3A03E6","ZXMN3A03E6")</f>
        <v>ZXMN3A03E6</v>
      </c>
      <c r="B1960" t="str">
        <f>Hyperlink("https://www.diodes.com/assets/Datasheets/ZXMN3A03E6.pdf","ZXMN3A03E6 Datasheet")</f>
        <v>ZXMN3A03E6 Datasheet</v>
      </c>
      <c r="C1960" t="s">
        <v>24</v>
      </c>
      <c r="D1960" t="s">
        <v>25</v>
      </c>
      <c r="E1960" t="s">
        <v>26</v>
      </c>
      <c r="F1960" t="s">
        <v>27</v>
      </c>
      <c r="G1960" t="s">
        <v>28</v>
      </c>
      <c r="H1960">
        <v>30</v>
      </c>
      <c r="I1960">
        <v>20</v>
      </c>
      <c r="J1960">
        <v>3.7</v>
      </c>
      <c r="L1960">
        <v>1.1</v>
      </c>
      <c r="N1960">
        <v>50</v>
      </c>
      <c r="O1960">
        <v>65</v>
      </c>
      <c r="T1960" t="s">
        <v>1182</v>
      </c>
      <c r="U1960">
        <v>12.6</v>
      </c>
      <c r="V1960">
        <v>600</v>
      </c>
      <c r="X1960" t="s">
        <v>261</v>
      </c>
    </row>
    <row r="1961" spans="1:24">
      <c r="A1961" t="str">
        <f>Hyperlink("https://www.diodes.com/part/view/ZXMN3A04DN8","ZXMN3A04DN8")</f>
        <v>ZXMN3A04DN8</v>
      </c>
      <c r="B1961" t="str">
        <f>Hyperlink("https://www.diodes.com/assets/Datasheets/ZXMN3A04DN8.pdf","ZXMN3A04DN8 Datasheet")</f>
        <v>ZXMN3A04DN8 Datasheet</v>
      </c>
      <c r="C1961" t="s">
        <v>34</v>
      </c>
      <c r="D1961" t="s">
        <v>28</v>
      </c>
      <c r="E1961" t="s">
        <v>26</v>
      </c>
      <c r="F1961" t="s">
        <v>35</v>
      </c>
      <c r="G1961" t="s">
        <v>28</v>
      </c>
      <c r="H1961">
        <v>30</v>
      </c>
      <c r="I1961">
        <v>20</v>
      </c>
      <c r="J1961">
        <v>6.5</v>
      </c>
      <c r="L1961">
        <v>1.81</v>
      </c>
      <c r="N1961">
        <v>20</v>
      </c>
      <c r="O1961">
        <v>30</v>
      </c>
      <c r="T1961" t="s">
        <v>1183</v>
      </c>
      <c r="U1961">
        <v>36.8</v>
      </c>
      <c r="X1961" t="s">
        <v>155</v>
      </c>
    </row>
    <row r="1962" spans="1:24">
      <c r="A1962" t="str">
        <f>Hyperlink("https://www.diodes.com/part/view/ZXMN3A04K","ZXMN3A04K")</f>
        <v>ZXMN3A04K</v>
      </c>
      <c r="B1962" t="str">
        <f>Hyperlink("https://www.diodes.com/assets/Datasheets/ZXMN3A04K.pdf","ZXMN3A04K Datasheet")</f>
        <v>ZXMN3A04K Datasheet</v>
      </c>
      <c r="C1962" t="s">
        <v>24</v>
      </c>
      <c r="D1962" t="s">
        <v>25</v>
      </c>
      <c r="E1962" t="s">
        <v>26</v>
      </c>
      <c r="F1962" t="s">
        <v>27</v>
      </c>
      <c r="G1962" t="s">
        <v>28</v>
      </c>
      <c r="H1962">
        <v>30</v>
      </c>
      <c r="I1962">
        <v>20</v>
      </c>
      <c r="J1962">
        <v>12</v>
      </c>
      <c r="L1962">
        <v>2.15</v>
      </c>
      <c r="N1962">
        <v>20</v>
      </c>
      <c r="O1962">
        <v>30</v>
      </c>
      <c r="T1962" t="s">
        <v>1183</v>
      </c>
      <c r="U1962">
        <v>36.8</v>
      </c>
      <c r="X1962" t="s">
        <v>507</v>
      </c>
    </row>
    <row r="1963" spans="1:24">
      <c r="A1963" t="str">
        <f>Hyperlink("https://www.diodes.com/part/view/ZXMN3A06DN8","ZXMN3A06DN8")</f>
        <v>ZXMN3A06DN8</v>
      </c>
      <c r="B1963" t="str">
        <f>Hyperlink("https://www.diodes.com/assets/Datasheets/ZXMN3A06DN8.pdf","ZXMN3A06DN8 Datasheet")</f>
        <v>ZXMN3A06DN8 Datasheet</v>
      </c>
      <c r="C1963" t="s">
        <v>34</v>
      </c>
      <c r="D1963" t="s">
        <v>25</v>
      </c>
      <c r="E1963" t="s">
        <v>26</v>
      </c>
      <c r="F1963" t="s">
        <v>35</v>
      </c>
      <c r="G1963" t="s">
        <v>28</v>
      </c>
      <c r="H1963">
        <v>30</v>
      </c>
      <c r="I1963">
        <v>20</v>
      </c>
      <c r="J1963">
        <v>6.2</v>
      </c>
      <c r="L1963">
        <v>1.8</v>
      </c>
      <c r="N1963">
        <v>35</v>
      </c>
      <c r="O1963">
        <v>50</v>
      </c>
      <c r="S1963">
        <v>1</v>
      </c>
      <c r="T1963" t="s">
        <v>1184</v>
      </c>
      <c r="U1963">
        <v>17.5</v>
      </c>
      <c r="X1963" t="s">
        <v>155</v>
      </c>
    </row>
    <row r="1964" spans="1:24">
      <c r="A1964" t="str">
        <f>Hyperlink("https://www.diodes.com/part/view/ZXMN3A14F","ZXMN3A14F")</f>
        <v>ZXMN3A14F</v>
      </c>
      <c r="B1964" t="str">
        <f>Hyperlink("https://www.diodes.com/assets/Datasheets/ZXMN3A14F.pdf","ZXMN3A14F Datasheet")</f>
        <v>ZXMN3A14F Datasheet</v>
      </c>
      <c r="C1964" t="s">
        <v>24</v>
      </c>
      <c r="D1964" t="s">
        <v>25</v>
      </c>
      <c r="E1964" t="s">
        <v>26</v>
      </c>
      <c r="F1964" t="s">
        <v>27</v>
      </c>
      <c r="G1964" t="s">
        <v>28</v>
      </c>
      <c r="H1964">
        <v>30</v>
      </c>
      <c r="I1964">
        <v>20</v>
      </c>
      <c r="J1964">
        <v>3.9</v>
      </c>
      <c r="L1964">
        <v>1</v>
      </c>
      <c r="N1964">
        <v>65</v>
      </c>
      <c r="O1964">
        <v>95</v>
      </c>
      <c r="S1964">
        <v>2.2</v>
      </c>
      <c r="U1964">
        <v>8.6</v>
      </c>
      <c r="V1964">
        <v>448</v>
      </c>
      <c r="X1964" t="s">
        <v>32</v>
      </c>
    </row>
    <row r="1965" spans="1:24">
      <c r="A1965" t="str">
        <f>Hyperlink("https://www.diodes.com/part/view/ZXMN3A14FQ","ZXMN3A14FQ")</f>
        <v>ZXMN3A14FQ</v>
      </c>
      <c r="B1965" t="str">
        <f>Hyperlink("https://www.diodes.com/assets/Datasheets/ZXMN3A14FQ.pdf","ZXMN3A14FQ Datasheet")</f>
        <v>ZXMN3A14FQ Datasheet</v>
      </c>
      <c r="C1965" t="s">
        <v>504</v>
      </c>
      <c r="D1965" t="s">
        <v>25</v>
      </c>
      <c r="E1965" t="s">
        <v>33</v>
      </c>
      <c r="F1965" t="s">
        <v>27</v>
      </c>
      <c r="G1965" t="s">
        <v>28</v>
      </c>
      <c r="H1965">
        <v>30</v>
      </c>
      <c r="I1965">
        <v>20</v>
      </c>
      <c r="J1965">
        <v>3.9</v>
      </c>
      <c r="L1965">
        <v>1</v>
      </c>
      <c r="N1965">
        <v>65</v>
      </c>
      <c r="O1965">
        <v>95</v>
      </c>
      <c r="S1965">
        <v>2.2</v>
      </c>
      <c r="U1965">
        <v>8.6</v>
      </c>
      <c r="V1965">
        <v>448</v>
      </c>
      <c r="W1965">
        <v>15</v>
      </c>
      <c r="X1965" t="s">
        <v>32</v>
      </c>
    </row>
    <row r="1966" spans="1:24">
      <c r="A1966" t="str">
        <f>Hyperlink("https://www.diodes.com/part/view/ZXMN3AMC","ZXMN3AMC")</f>
        <v>ZXMN3AMC</v>
      </c>
      <c r="B1966" t="str">
        <f>Hyperlink("https://www.diodes.com/assets/Datasheets/ZXMN3AMC.pdf","ZXMN3AMC Datasheet")</f>
        <v>ZXMN3AMC Datasheet</v>
      </c>
      <c r="C1966" t="s">
        <v>668</v>
      </c>
      <c r="D1966" t="s">
        <v>25</v>
      </c>
      <c r="E1966" t="s">
        <v>26</v>
      </c>
      <c r="F1966" t="s">
        <v>35</v>
      </c>
      <c r="G1966" t="s">
        <v>28</v>
      </c>
      <c r="H1966">
        <v>30</v>
      </c>
      <c r="I1966">
        <v>20</v>
      </c>
      <c r="J1966" t="s">
        <v>1185</v>
      </c>
      <c r="L1966">
        <v>1.7</v>
      </c>
      <c r="N1966">
        <v>120</v>
      </c>
      <c r="O1966">
        <v>180</v>
      </c>
      <c r="S1966">
        <v>3</v>
      </c>
      <c r="T1966">
        <v>2.3</v>
      </c>
      <c r="U1966">
        <v>3.9</v>
      </c>
      <c r="V1966">
        <v>190</v>
      </c>
      <c r="X1966" t="s">
        <v>901</v>
      </c>
    </row>
    <row r="1967" spans="1:24">
      <c r="A1967" t="str">
        <f>Hyperlink("https://www.diodes.com/part/view/ZXMN3B01F","ZXMN3B01F")</f>
        <v>ZXMN3B01F</v>
      </c>
      <c r="B1967" t="str">
        <f>Hyperlink("https://www.diodes.com/assets/Datasheets/ZXMN3B01F.pdf","ZXMN3B01F Datasheet")</f>
        <v>ZXMN3B01F Datasheet</v>
      </c>
      <c r="C1967" t="s">
        <v>24</v>
      </c>
      <c r="D1967" t="s">
        <v>28</v>
      </c>
      <c r="E1967" t="s">
        <v>26</v>
      </c>
      <c r="F1967" t="s">
        <v>27</v>
      </c>
      <c r="G1967" t="s">
        <v>28</v>
      </c>
      <c r="H1967">
        <v>30</v>
      </c>
      <c r="I1967">
        <v>12</v>
      </c>
      <c r="J1967">
        <v>2</v>
      </c>
      <c r="L1967">
        <v>0.625</v>
      </c>
      <c r="O1967">
        <v>150</v>
      </c>
      <c r="P1967">
        <v>240</v>
      </c>
      <c r="S1967">
        <v>0.7</v>
      </c>
      <c r="T1967">
        <v>2.93</v>
      </c>
      <c r="V1967">
        <v>258</v>
      </c>
      <c r="X1967" t="s">
        <v>32</v>
      </c>
    </row>
    <row r="1968" spans="1:24">
      <c r="A1968" t="str">
        <f>Hyperlink("https://www.diodes.com/part/view/ZXMN3B04N8","ZXMN3B04N8")</f>
        <v>ZXMN3B04N8</v>
      </c>
      <c r="B1968" t="str">
        <f>Hyperlink("https://www.diodes.com/assets/Datasheets/ZXMN3B04N8.pdf","ZXMN3B04N8 Datasheet")</f>
        <v>ZXMN3B04N8 Datasheet</v>
      </c>
      <c r="C1968" t="s">
        <v>24</v>
      </c>
      <c r="D1968" t="s">
        <v>25</v>
      </c>
      <c r="E1968" t="s">
        <v>26</v>
      </c>
      <c r="F1968" t="s">
        <v>27</v>
      </c>
      <c r="G1968" t="s">
        <v>28</v>
      </c>
      <c r="H1968">
        <v>30</v>
      </c>
      <c r="I1968">
        <v>12</v>
      </c>
      <c r="J1968">
        <v>8.9</v>
      </c>
      <c r="L1968">
        <v>2</v>
      </c>
      <c r="O1968">
        <v>25</v>
      </c>
      <c r="P1968">
        <v>40</v>
      </c>
      <c r="S1968">
        <v>0.7</v>
      </c>
      <c r="T1968">
        <v>23.1</v>
      </c>
      <c r="V1968">
        <v>2480</v>
      </c>
      <c r="X1968" t="s">
        <v>155</v>
      </c>
    </row>
    <row r="1969" spans="1:24">
      <c r="A1969" t="str">
        <f>Hyperlink("https://www.diodes.com/part/view/ZXMN3B14F","ZXMN3B14F")</f>
        <v>ZXMN3B14F</v>
      </c>
      <c r="B1969" t="str">
        <f>Hyperlink("https://www.diodes.com/assets/Datasheets/ZXMN3B14F.pdf","ZXMN3B14F Datasheet")</f>
        <v>ZXMN3B14F Datasheet</v>
      </c>
      <c r="C1969" t="s">
        <v>24</v>
      </c>
      <c r="D1969" t="s">
        <v>25</v>
      </c>
      <c r="E1969" t="s">
        <v>26</v>
      </c>
      <c r="F1969" t="s">
        <v>27</v>
      </c>
      <c r="G1969" t="s">
        <v>28</v>
      </c>
      <c r="H1969">
        <v>30</v>
      </c>
      <c r="I1969">
        <v>12</v>
      </c>
      <c r="J1969">
        <v>3.5</v>
      </c>
      <c r="L1969">
        <v>1</v>
      </c>
      <c r="O1969">
        <v>80</v>
      </c>
      <c r="P1969">
        <v>140</v>
      </c>
      <c r="S1969">
        <v>0.7</v>
      </c>
      <c r="T1969">
        <v>6.7</v>
      </c>
      <c r="V1969">
        <v>568</v>
      </c>
      <c r="X1969" t="s">
        <v>32</v>
      </c>
    </row>
    <row r="1970" spans="1:24">
      <c r="A1970" t="str">
        <f>Hyperlink("https://www.diodes.com/part/view/ZXMN3F30FH","ZXMN3F30FH")</f>
        <v>ZXMN3F30FH</v>
      </c>
      <c r="B1970" t="str">
        <f>Hyperlink("https://www.diodes.com/assets/Datasheets/ZXMN3F30FH.pdf","ZXMN3F30FH Datasheet")</f>
        <v>ZXMN3F30FH Datasheet</v>
      </c>
      <c r="C1970" t="s">
        <v>24</v>
      </c>
      <c r="D1970" t="s">
        <v>25</v>
      </c>
      <c r="E1970" t="s">
        <v>26</v>
      </c>
      <c r="F1970" t="s">
        <v>27</v>
      </c>
      <c r="G1970" t="s">
        <v>28</v>
      </c>
      <c r="H1970">
        <v>30</v>
      </c>
      <c r="I1970">
        <v>20</v>
      </c>
      <c r="J1970" t="s">
        <v>1186</v>
      </c>
      <c r="L1970">
        <v>0.95</v>
      </c>
      <c r="N1970">
        <v>47</v>
      </c>
      <c r="O1970">
        <v>65</v>
      </c>
      <c r="S1970">
        <v>3</v>
      </c>
      <c r="U1970">
        <v>7.7</v>
      </c>
      <c r="V1970">
        <v>318</v>
      </c>
      <c r="X1970" t="s">
        <v>32</v>
      </c>
    </row>
    <row r="1971" spans="1:24">
      <c r="A1971" t="str">
        <f>Hyperlink("https://www.diodes.com/part/view/ZXMN3F31DN8","ZXMN3F31DN8")</f>
        <v>ZXMN3F31DN8</v>
      </c>
      <c r="B1971" t="str">
        <f>Hyperlink("https://www.diodes.com/assets/Datasheets/ZXMN3F31DN8.pdf","ZXMN3F31DN8 Datasheet")</f>
        <v>ZXMN3F31DN8 Datasheet</v>
      </c>
      <c r="C1971" t="s">
        <v>34</v>
      </c>
      <c r="D1971" t="s">
        <v>25</v>
      </c>
      <c r="E1971" t="s">
        <v>26</v>
      </c>
      <c r="F1971" t="s">
        <v>35</v>
      </c>
      <c r="G1971" t="s">
        <v>28</v>
      </c>
      <c r="H1971">
        <v>30</v>
      </c>
      <c r="I1971">
        <v>20</v>
      </c>
      <c r="J1971" t="s">
        <v>1187</v>
      </c>
      <c r="L1971">
        <v>1.8</v>
      </c>
      <c r="N1971">
        <v>24</v>
      </c>
      <c r="O1971">
        <v>39</v>
      </c>
      <c r="S1971">
        <v>3</v>
      </c>
      <c r="T1971">
        <v>6.3</v>
      </c>
      <c r="U1971">
        <v>12.9</v>
      </c>
      <c r="V1971">
        <v>608</v>
      </c>
      <c r="X1971" t="s">
        <v>155</v>
      </c>
    </row>
    <row r="1972" spans="1:24">
      <c r="A1972" t="str">
        <f>Hyperlink("https://www.diodes.com/part/view/ZXMN3G32DN8","ZXMN3G32DN8")</f>
        <v>ZXMN3G32DN8</v>
      </c>
      <c r="B1972" t="str">
        <f>Hyperlink("https://www.diodes.com/assets/Datasheets/ZXMN3G32DN8.pdf","ZXMN3G32DN8 Datasheet")</f>
        <v>ZXMN3G32DN8 Datasheet</v>
      </c>
      <c r="C1972" t="s">
        <v>34</v>
      </c>
      <c r="D1972" t="s">
        <v>25</v>
      </c>
      <c r="E1972" t="s">
        <v>26</v>
      </c>
      <c r="F1972" t="s">
        <v>35</v>
      </c>
      <c r="G1972" t="s">
        <v>28</v>
      </c>
      <c r="H1972">
        <v>30</v>
      </c>
      <c r="I1972">
        <v>20</v>
      </c>
      <c r="J1972" t="s">
        <v>1188</v>
      </c>
      <c r="L1972">
        <v>1.8</v>
      </c>
      <c r="N1972">
        <v>28</v>
      </c>
      <c r="O1972">
        <v>45</v>
      </c>
      <c r="S1972">
        <v>3</v>
      </c>
      <c r="U1972">
        <v>10.5</v>
      </c>
      <c r="X1972" t="s">
        <v>155</v>
      </c>
    </row>
    <row r="1973" spans="1:24">
      <c r="A1973" t="str">
        <f>Hyperlink("https://www.diodes.com/part/view/ZXMN4A06G","ZXMN4A06G")</f>
        <v>ZXMN4A06G</v>
      </c>
      <c r="B1973" t="str">
        <f>Hyperlink("https://www.diodes.com/assets/Datasheets/ZXMN4A06G.pdf","ZXMN4A06G Datasheet")</f>
        <v>ZXMN4A06G Datasheet</v>
      </c>
      <c r="C1973" t="s">
        <v>24</v>
      </c>
      <c r="D1973" t="s">
        <v>25</v>
      </c>
      <c r="E1973" t="s">
        <v>26</v>
      </c>
      <c r="F1973" t="s">
        <v>27</v>
      </c>
      <c r="G1973" t="s">
        <v>28</v>
      </c>
      <c r="H1973">
        <v>40</v>
      </c>
      <c r="I1973">
        <v>20</v>
      </c>
      <c r="J1973">
        <v>7</v>
      </c>
      <c r="L1973">
        <v>2</v>
      </c>
      <c r="N1973">
        <v>50</v>
      </c>
      <c r="O1973">
        <v>75</v>
      </c>
      <c r="S1973">
        <v>2</v>
      </c>
      <c r="U1973">
        <v>18.2</v>
      </c>
      <c r="V1973" t="s">
        <v>1189</v>
      </c>
      <c r="X1973" t="s">
        <v>1049</v>
      </c>
    </row>
    <row r="1974" spans="1:24">
      <c r="A1974" t="str">
        <f>Hyperlink("https://www.diodes.com/part/view/ZXMN4A06GQ","ZXMN4A06GQ")</f>
        <v>ZXMN4A06GQ</v>
      </c>
      <c r="B1974" t="str">
        <f>Hyperlink("https://www.diodes.com/assets/Datasheets/ZXMN4A06GQ.pdf","ZXMN4A06GQ Datasheet")</f>
        <v>ZXMN4A06GQ Datasheet</v>
      </c>
      <c r="C1974" t="s">
        <v>700</v>
      </c>
      <c r="D1974" t="s">
        <v>25</v>
      </c>
      <c r="E1974" t="s">
        <v>33</v>
      </c>
      <c r="F1974" t="s">
        <v>27</v>
      </c>
      <c r="G1974" t="s">
        <v>28</v>
      </c>
      <c r="H1974">
        <v>40</v>
      </c>
      <c r="I1974">
        <v>20</v>
      </c>
      <c r="J1974">
        <v>7</v>
      </c>
      <c r="L1974">
        <v>2</v>
      </c>
      <c r="N1974">
        <v>50</v>
      </c>
      <c r="O1974">
        <v>75</v>
      </c>
      <c r="U1974">
        <v>19</v>
      </c>
      <c r="X1974" t="s">
        <v>586</v>
      </c>
    </row>
    <row r="1975" spans="1:24">
      <c r="A1975" t="str">
        <f>Hyperlink("https://www.diodes.com/part/view/ZXMN4A06K","ZXMN4A06K")</f>
        <v>ZXMN4A06K</v>
      </c>
      <c r="B1975" t="str">
        <f>Hyperlink("https://www.diodes.com/assets/Datasheets/ZXMN4A06K.pdf","ZXMN4A06K Datasheet")</f>
        <v>ZXMN4A06K Datasheet</v>
      </c>
      <c r="C1975" t="s">
        <v>24</v>
      </c>
      <c r="D1975" t="s">
        <v>25</v>
      </c>
      <c r="E1975" t="s">
        <v>26</v>
      </c>
      <c r="F1975" t="s">
        <v>27</v>
      </c>
      <c r="G1975" t="s">
        <v>28</v>
      </c>
      <c r="H1975">
        <v>40</v>
      </c>
      <c r="I1975">
        <v>20</v>
      </c>
      <c r="J1975">
        <v>10.9</v>
      </c>
      <c r="L1975">
        <v>2.15</v>
      </c>
      <c r="N1975">
        <v>50</v>
      </c>
      <c r="O1975">
        <v>75</v>
      </c>
      <c r="S1975">
        <v>1</v>
      </c>
      <c r="U1975">
        <v>17.1</v>
      </c>
      <c r="X1975" t="s">
        <v>507</v>
      </c>
    </row>
    <row r="1976" spans="1:24">
      <c r="A1976" t="str">
        <f>Hyperlink("https://www.diodes.com/part/view/ZXMN6A07F","ZXMN6A07F")</f>
        <v>ZXMN6A07F</v>
      </c>
      <c r="B1976" t="str">
        <f>Hyperlink("https://www.diodes.com/assets/Datasheets/ZXMN6A07F.pdf","ZXMN6A07F Datasheet")</f>
        <v>ZXMN6A07F Datasheet</v>
      </c>
      <c r="C1976" t="s">
        <v>24</v>
      </c>
      <c r="D1976" t="s">
        <v>25</v>
      </c>
      <c r="E1976" t="s">
        <v>26</v>
      </c>
      <c r="F1976" t="s">
        <v>27</v>
      </c>
      <c r="G1976" t="s">
        <v>28</v>
      </c>
      <c r="H1976">
        <v>60</v>
      </c>
      <c r="I1976">
        <v>20</v>
      </c>
      <c r="J1976">
        <v>1.4</v>
      </c>
      <c r="L1976">
        <v>0.625</v>
      </c>
      <c r="N1976">
        <v>250</v>
      </c>
      <c r="O1976">
        <v>350</v>
      </c>
      <c r="S1976">
        <v>3</v>
      </c>
      <c r="T1976" t="s">
        <v>1190</v>
      </c>
      <c r="U1976">
        <v>3.2</v>
      </c>
      <c r="V1976" t="s">
        <v>1191</v>
      </c>
      <c r="X1976" t="s">
        <v>32</v>
      </c>
    </row>
    <row r="1977" spans="1:24">
      <c r="A1977" t="str">
        <f>Hyperlink("https://www.diodes.com/part/view/ZXMN6A07FQ","ZXMN6A07FQ")</f>
        <v>ZXMN6A07FQ</v>
      </c>
      <c r="B1977" t="str">
        <f>Hyperlink("https://www.diodes.com/assets/Datasheets/ZXMN6A07FQ.pdf","ZXMN6A07FQ Datasheet")</f>
        <v>ZXMN6A07FQ Datasheet</v>
      </c>
      <c r="C1977" t="s">
        <v>725</v>
      </c>
      <c r="D1977" t="s">
        <v>25</v>
      </c>
      <c r="E1977" t="s">
        <v>33</v>
      </c>
      <c r="F1977" t="s">
        <v>27</v>
      </c>
      <c r="G1977" t="s">
        <v>28</v>
      </c>
      <c r="H1977">
        <v>60</v>
      </c>
      <c r="I1977">
        <v>20</v>
      </c>
      <c r="J1977">
        <v>1.4</v>
      </c>
      <c r="L1977">
        <v>0.8</v>
      </c>
      <c r="N1977">
        <v>250</v>
      </c>
      <c r="O1977">
        <v>350</v>
      </c>
      <c r="R1977">
        <v>1</v>
      </c>
      <c r="S1977">
        <v>3</v>
      </c>
      <c r="T1977" t="s">
        <v>1192</v>
      </c>
      <c r="U1977">
        <v>3.2</v>
      </c>
      <c r="V1977">
        <v>166</v>
      </c>
      <c r="W1977">
        <v>40</v>
      </c>
      <c r="X1977" t="s">
        <v>32</v>
      </c>
    </row>
    <row r="1978" spans="1:24">
      <c r="A1978" t="str">
        <f>Hyperlink("https://www.diodes.com/part/view/ZXMN6A07Z","ZXMN6A07Z")</f>
        <v>ZXMN6A07Z</v>
      </c>
      <c r="B1978" t="str">
        <f>Hyperlink("https://www.diodes.com/assets/Datasheets/ZXMN6A07Z.pdf","ZXMN6A07Z Datasheet")</f>
        <v>ZXMN6A07Z Datasheet</v>
      </c>
      <c r="C1978" t="s">
        <v>24</v>
      </c>
      <c r="D1978" t="s">
        <v>25</v>
      </c>
      <c r="E1978" t="s">
        <v>26</v>
      </c>
      <c r="F1978" t="s">
        <v>27</v>
      </c>
      <c r="G1978" t="s">
        <v>28</v>
      </c>
      <c r="H1978">
        <v>60</v>
      </c>
      <c r="I1978">
        <v>20</v>
      </c>
      <c r="J1978">
        <v>2.5</v>
      </c>
      <c r="L1978">
        <v>1.5</v>
      </c>
      <c r="N1978">
        <v>250</v>
      </c>
      <c r="O1978">
        <v>350</v>
      </c>
      <c r="S1978">
        <v>3</v>
      </c>
      <c r="T1978" t="s">
        <v>1190</v>
      </c>
      <c r="U1978">
        <v>3.2</v>
      </c>
      <c r="V1978" t="s">
        <v>1191</v>
      </c>
      <c r="X1978" t="s">
        <v>731</v>
      </c>
    </row>
    <row r="1979" spans="1:24">
      <c r="A1979" t="str">
        <f>Hyperlink("https://www.diodes.com/part/view/ZXMN6A08E6","ZXMN6A08E6")</f>
        <v>ZXMN6A08E6</v>
      </c>
      <c r="B1979" t="str">
        <f>Hyperlink("https://www.diodes.com/assets/Datasheets/ZXMN6A08E6.pdf","ZXMN6A08E6 Datasheet")</f>
        <v>ZXMN6A08E6 Datasheet</v>
      </c>
      <c r="C1979" t="s">
        <v>24</v>
      </c>
      <c r="D1979" t="s">
        <v>25</v>
      </c>
      <c r="E1979" t="s">
        <v>26</v>
      </c>
      <c r="F1979" t="s">
        <v>27</v>
      </c>
      <c r="G1979" t="s">
        <v>28</v>
      </c>
      <c r="H1979">
        <v>60</v>
      </c>
      <c r="I1979">
        <v>20</v>
      </c>
      <c r="J1979">
        <v>3.5</v>
      </c>
      <c r="L1979">
        <v>1.1</v>
      </c>
      <c r="N1979">
        <v>80</v>
      </c>
      <c r="O1979">
        <v>150</v>
      </c>
      <c r="S1979">
        <v>1</v>
      </c>
      <c r="T1979">
        <v>3.7</v>
      </c>
      <c r="U1979">
        <v>5.8</v>
      </c>
      <c r="V1979" t="s">
        <v>1193</v>
      </c>
      <c r="X1979" t="s">
        <v>261</v>
      </c>
    </row>
    <row r="1980" spans="1:24">
      <c r="A1980" t="str">
        <f>Hyperlink("https://www.diodes.com/part/view/ZXMN6A08E6Q","ZXMN6A08E6Q")</f>
        <v>ZXMN6A08E6Q</v>
      </c>
      <c r="B1980" t="str">
        <f>Hyperlink("https://www.diodes.com/assets/Datasheets/ZXMN6A08E6Q.pdf","ZXMN6A08E6Q Datasheet")</f>
        <v>ZXMN6A08E6Q Datasheet</v>
      </c>
      <c r="C1980" t="s">
        <v>721</v>
      </c>
      <c r="D1980" t="s">
        <v>25</v>
      </c>
      <c r="E1980" t="s">
        <v>33</v>
      </c>
      <c r="F1980" t="s">
        <v>27</v>
      </c>
      <c r="G1980" t="s">
        <v>28</v>
      </c>
      <c r="H1980">
        <v>60</v>
      </c>
      <c r="I1980">
        <v>20</v>
      </c>
      <c r="J1980">
        <v>3.5</v>
      </c>
      <c r="L1980">
        <v>1.1</v>
      </c>
      <c r="N1980">
        <v>80</v>
      </c>
      <c r="O1980">
        <v>150</v>
      </c>
      <c r="S1980">
        <v>1</v>
      </c>
      <c r="T1980">
        <v>3.7</v>
      </c>
      <c r="U1980">
        <v>5.8</v>
      </c>
      <c r="X1980" t="s">
        <v>261</v>
      </c>
    </row>
    <row r="1981" spans="1:24">
      <c r="A1981" t="str">
        <f>Hyperlink("https://www.diodes.com/part/view/ZXMN6A08G","ZXMN6A08G")</f>
        <v>ZXMN6A08G</v>
      </c>
      <c r="B1981" t="str">
        <f>Hyperlink("https://www.diodes.com/assets/Datasheets/ZXMN6A08G.pdf","ZXMN6A08G Datasheet")</f>
        <v>ZXMN6A08G Datasheet</v>
      </c>
      <c r="C1981" t="s">
        <v>24</v>
      </c>
      <c r="D1981" t="s">
        <v>25</v>
      </c>
      <c r="E1981" t="s">
        <v>26</v>
      </c>
      <c r="F1981" t="s">
        <v>27</v>
      </c>
      <c r="G1981" t="s">
        <v>28</v>
      </c>
      <c r="H1981">
        <v>60</v>
      </c>
      <c r="I1981">
        <v>20</v>
      </c>
      <c r="J1981">
        <v>5.3</v>
      </c>
      <c r="L1981">
        <v>2</v>
      </c>
      <c r="N1981">
        <v>80</v>
      </c>
      <c r="O1981">
        <v>150</v>
      </c>
      <c r="S1981">
        <v>1</v>
      </c>
      <c r="T1981" t="s">
        <v>1194</v>
      </c>
      <c r="U1981">
        <v>5.8</v>
      </c>
      <c r="V1981">
        <v>459</v>
      </c>
      <c r="W1981">
        <v>40</v>
      </c>
      <c r="X1981" t="s">
        <v>1049</v>
      </c>
    </row>
    <row r="1982" spans="1:24">
      <c r="A1982" t="str">
        <f>Hyperlink("https://www.diodes.com/part/view/ZXMN6A08GQ","ZXMN6A08GQ")</f>
        <v>ZXMN6A08GQ</v>
      </c>
      <c r="B1982" t="str">
        <f>Hyperlink("https://www.diodes.com/assets/Datasheets/ZXMN6A08GQ.pdf","ZXMN6A08GQ Datasheet")</f>
        <v>ZXMN6A08GQ Datasheet</v>
      </c>
      <c r="C1982" t="s">
        <v>1195</v>
      </c>
      <c r="D1982" t="s">
        <v>25</v>
      </c>
      <c r="E1982" t="s">
        <v>33</v>
      </c>
      <c r="F1982" t="s">
        <v>27</v>
      </c>
      <c r="G1982" t="s">
        <v>28</v>
      </c>
      <c r="H1982">
        <v>60</v>
      </c>
      <c r="I1982">
        <v>20</v>
      </c>
      <c r="J1982">
        <v>5.3</v>
      </c>
      <c r="L1982">
        <v>2</v>
      </c>
      <c r="N1982">
        <v>80</v>
      </c>
      <c r="O1982">
        <v>150</v>
      </c>
      <c r="S1982">
        <v>1</v>
      </c>
      <c r="T1982" t="s">
        <v>1194</v>
      </c>
      <c r="U1982">
        <v>5.8</v>
      </c>
      <c r="V1982">
        <v>459</v>
      </c>
      <c r="W1982">
        <v>40</v>
      </c>
      <c r="X1982" t="s">
        <v>1196</v>
      </c>
    </row>
    <row r="1983" spans="1:24">
      <c r="A1983" t="str">
        <f>Hyperlink("https://www.diodes.com/part/view/ZXMN6A08K","ZXMN6A08K")</f>
        <v>ZXMN6A08K</v>
      </c>
      <c r="B1983" t="str">
        <f>Hyperlink("https://www.diodes.com/assets/Datasheets/ZXMN6A08K.pdf","ZXMN6A08K Datasheet")</f>
        <v>ZXMN6A08K Datasheet</v>
      </c>
      <c r="C1983" t="s">
        <v>24</v>
      </c>
      <c r="D1983" t="s">
        <v>25</v>
      </c>
      <c r="E1983" t="s">
        <v>26</v>
      </c>
      <c r="F1983" t="s">
        <v>27</v>
      </c>
      <c r="G1983" t="s">
        <v>28</v>
      </c>
      <c r="H1983">
        <v>60</v>
      </c>
      <c r="I1983">
        <v>20</v>
      </c>
      <c r="J1983">
        <v>5.36</v>
      </c>
      <c r="L1983">
        <v>2.12</v>
      </c>
      <c r="N1983">
        <v>80</v>
      </c>
      <c r="O1983">
        <v>150</v>
      </c>
      <c r="S1983">
        <v>3</v>
      </c>
      <c r="T1983">
        <v>3.8</v>
      </c>
      <c r="U1983">
        <v>5.8</v>
      </c>
      <c r="V1983" t="s">
        <v>1193</v>
      </c>
      <c r="X1983" t="s">
        <v>507</v>
      </c>
    </row>
    <row r="1984" spans="1:24">
      <c r="A1984" t="str">
        <f>Hyperlink("https://www.diodes.com/part/view/ZXMN6A09DN8","ZXMN6A09DN8")</f>
        <v>ZXMN6A09DN8</v>
      </c>
      <c r="B1984" t="str">
        <f>Hyperlink("https://www.diodes.com/assets/Datasheets/ZXMN6A09DN8.pdf","ZXMN6A09DN8 Datasheet")</f>
        <v>ZXMN6A09DN8 Datasheet</v>
      </c>
      <c r="C1984" t="s">
        <v>34</v>
      </c>
      <c r="D1984" t="s">
        <v>25</v>
      </c>
      <c r="E1984" t="s">
        <v>26</v>
      </c>
      <c r="F1984" t="s">
        <v>35</v>
      </c>
      <c r="G1984" t="s">
        <v>28</v>
      </c>
      <c r="H1984">
        <v>60</v>
      </c>
      <c r="I1984">
        <v>20</v>
      </c>
      <c r="J1984">
        <v>5.6</v>
      </c>
      <c r="L1984">
        <v>1.25</v>
      </c>
      <c r="N1984">
        <v>40</v>
      </c>
      <c r="O1984">
        <v>60</v>
      </c>
      <c r="S1984">
        <v>3</v>
      </c>
      <c r="T1984">
        <v>12.4</v>
      </c>
      <c r="U1984">
        <v>24.2</v>
      </c>
      <c r="V1984" t="s">
        <v>1197</v>
      </c>
      <c r="X1984" t="s">
        <v>155</v>
      </c>
    </row>
    <row r="1985" spans="1:24">
      <c r="A1985" t="str">
        <f>Hyperlink("https://www.diodes.com/part/view/ZXMN6A09G","ZXMN6A09G")</f>
        <v>ZXMN6A09G</v>
      </c>
      <c r="B1985" t="str">
        <f>Hyperlink("https://www.diodes.com/assets/Datasheets/ZXMN6A09G.pdf","ZXMN6A09G Datasheet")</f>
        <v>ZXMN6A09G Datasheet</v>
      </c>
      <c r="C1985" t="s">
        <v>24</v>
      </c>
      <c r="D1985" t="s">
        <v>25</v>
      </c>
      <c r="E1985" t="s">
        <v>26</v>
      </c>
      <c r="F1985" t="s">
        <v>27</v>
      </c>
      <c r="G1985" t="s">
        <v>28</v>
      </c>
      <c r="H1985">
        <v>60</v>
      </c>
      <c r="I1985">
        <v>20</v>
      </c>
      <c r="J1985">
        <v>7.5</v>
      </c>
      <c r="L1985">
        <v>2</v>
      </c>
      <c r="N1985">
        <v>40</v>
      </c>
      <c r="O1985">
        <v>60</v>
      </c>
      <c r="S1985">
        <v>3</v>
      </c>
      <c r="T1985">
        <v>12.4</v>
      </c>
      <c r="U1985">
        <v>24.2</v>
      </c>
      <c r="V1985" t="s">
        <v>1197</v>
      </c>
      <c r="X1985" t="s">
        <v>1049</v>
      </c>
    </row>
    <row r="1986" spans="1:24">
      <c r="A1986" t="str">
        <f>Hyperlink("https://www.diodes.com/part/view/ZXMN6A09GQ","ZXMN6A09GQ")</f>
        <v>ZXMN6A09GQ</v>
      </c>
      <c r="B1986" t="str">
        <f>Hyperlink("https://www.diodes.com/assets/Datasheets/ZXMN6A09GQ.pdf","ZXMN6A09GQ Datasheet")</f>
        <v>ZXMN6A09GQ Datasheet</v>
      </c>
      <c r="C1986" t="s">
        <v>721</v>
      </c>
      <c r="D1986" t="s">
        <v>25</v>
      </c>
      <c r="E1986" t="s">
        <v>33</v>
      </c>
      <c r="F1986" t="s">
        <v>27</v>
      </c>
      <c r="G1986" t="s">
        <v>28</v>
      </c>
      <c r="H1986">
        <v>60</v>
      </c>
      <c r="I1986">
        <v>20</v>
      </c>
      <c r="J1986">
        <v>7.5</v>
      </c>
      <c r="L1986">
        <v>2</v>
      </c>
      <c r="N1986">
        <v>40</v>
      </c>
      <c r="O1986">
        <v>60</v>
      </c>
      <c r="S1986">
        <v>3</v>
      </c>
      <c r="T1986">
        <v>12.4</v>
      </c>
      <c r="U1986">
        <v>24.2</v>
      </c>
      <c r="V1986">
        <v>1407</v>
      </c>
      <c r="W1986">
        <v>40</v>
      </c>
      <c r="X1986" t="s">
        <v>586</v>
      </c>
    </row>
    <row r="1987" spans="1:24">
      <c r="A1987" t="str">
        <f>Hyperlink("https://www.diodes.com/part/view/ZXMN6A09K","ZXMN6A09K")</f>
        <v>ZXMN6A09K</v>
      </c>
      <c r="B1987" t="str">
        <f>Hyperlink("https://www.diodes.com/assets/Datasheets/ZXMN6A09K.pdf","ZXMN6A09K Datasheet")</f>
        <v>ZXMN6A09K Datasheet</v>
      </c>
      <c r="C1987" t="s">
        <v>24</v>
      </c>
      <c r="D1987" t="s">
        <v>25</v>
      </c>
      <c r="E1987" t="s">
        <v>26</v>
      </c>
      <c r="F1987" t="s">
        <v>27</v>
      </c>
      <c r="G1987" t="s">
        <v>28</v>
      </c>
      <c r="H1987">
        <v>60</v>
      </c>
      <c r="I1987">
        <v>20</v>
      </c>
      <c r="J1987">
        <v>11.8</v>
      </c>
      <c r="L1987">
        <v>2.15</v>
      </c>
      <c r="N1987">
        <v>40</v>
      </c>
      <c r="O1987">
        <v>60</v>
      </c>
      <c r="S1987">
        <v>3</v>
      </c>
      <c r="T1987">
        <v>15</v>
      </c>
      <c r="U1987">
        <v>29</v>
      </c>
      <c r="V1987">
        <v>1426</v>
      </c>
      <c r="X1987" t="s">
        <v>507</v>
      </c>
    </row>
    <row r="1988" spans="1:24">
      <c r="A1988" t="str">
        <f>Hyperlink("https://www.diodes.com/part/view/ZXMN6A11DN8","ZXMN6A11DN8")</f>
        <v>ZXMN6A11DN8</v>
      </c>
      <c r="B1988" t="str">
        <f>Hyperlink("https://www.diodes.com/assets/Datasheets/ZXMN6A11DN8.pdf","ZXMN6A11DN8 Datasheet")</f>
        <v>ZXMN6A11DN8 Datasheet</v>
      </c>
      <c r="C1988" t="s">
        <v>34</v>
      </c>
      <c r="D1988" t="s">
        <v>25</v>
      </c>
      <c r="E1988" t="s">
        <v>26</v>
      </c>
      <c r="F1988" t="s">
        <v>35</v>
      </c>
      <c r="G1988" t="s">
        <v>28</v>
      </c>
      <c r="H1988">
        <v>60</v>
      </c>
      <c r="I1988">
        <v>20</v>
      </c>
      <c r="J1988">
        <v>3.2</v>
      </c>
      <c r="L1988">
        <v>1.8</v>
      </c>
      <c r="N1988">
        <v>120</v>
      </c>
      <c r="O1988">
        <v>180</v>
      </c>
      <c r="S1988">
        <v>1</v>
      </c>
      <c r="T1988" t="s">
        <v>1198</v>
      </c>
      <c r="U1988">
        <v>5.7</v>
      </c>
      <c r="V1988" t="s">
        <v>1199</v>
      </c>
      <c r="X1988" t="s">
        <v>155</v>
      </c>
    </row>
    <row r="1989" spans="1:24">
      <c r="A1989" t="str">
        <f>Hyperlink("https://www.diodes.com/part/view/ZXMN6A11G","ZXMN6A11G")</f>
        <v>ZXMN6A11G</v>
      </c>
      <c r="B1989" t="str">
        <f>Hyperlink("https://www.diodes.com/assets/Datasheets/ZXMN6A11G.pdf","ZXMN6A11G Datasheet")</f>
        <v>ZXMN6A11G Datasheet</v>
      </c>
      <c r="C1989" t="s">
        <v>24</v>
      </c>
      <c r="D1989" t="s">
        <v>25</v>
      </c>
      <c r="E1989" t="s">
        <v>26</v>
      </c>
      <c r="F1989" t="s">
        <v>27</v>
      </c>
      <c r="G1989" t="s">
        <v>28</v>
      </c>
      <c r="H1989">
        <v>60</v>
      </c>
      <c r="I1989">
        <v>20</v>
      </c>
      <c r="J1989">
        <v>4.4</v>
      </c>
      <c r="L1989">
        <v>2</v>
      </c>
      <c r="N1989">
        <v>120</v>
      </c>
      <c r="O1989">
        <v>180</v>
      </c>
      <c r="S1989">
        <v>3</v>
      </c>
      <c r="T1989">
        <v>3</v>
      </c>
      <c r="U1989">
        <v>5.7</v>
      </c>
      <c r="V1989" t="s">
        <v>1199</v>
      </c>
      <c r="X1989" t="s">
        <v>1049</v>
      </c>
    </row>
    <row r="1990" spans="1:24">
      <c r="A1990" t="str">
        <f>Hyperlink("https://www.diodes.com/part/view/ZXMN6A11Z","ZXMN6A11Z")</f>
        <v>ZXMN6A11Z</v>
      </c>
      <c r="B1990" t="str">
        <f>Hyperlink("https://www.diodes.com/assets/Datasheets/ZXMN6A11Z.pdf","ZXMN6A11Z Datasheet")</f>
        <v>ZXMN6A11Z Datasheet</v>
      </c>
      <c r="C1990" t="s">
        <v>24</v>
      </c>
      <c r="D1990" t="s">
        <v>25</v>
      </c>
      <c r="E1990" t="s">
        <v>26</v>
      </c>
      <c r="F1990" t="s">
        <v>27</v>
      </c>
      <c r="G1990" t="s">
        <v>28</v>
      </c>
      <c r="H1990">
        <v>60</v>
      </c>
      <c r="I1990">
        <v>20</v>
      </c>
      <c r="J1990">
        <v>3.6</v>
      </c>
      <c r="L1990">
        <v>1.5</v>
      </c>
      <c r="N1990">
        <v>120</v>
      </c>
      <c r="O1990">
        <v>180</v>
      </c>
      <c r="S1990">
        <v>2.2</v>
      </c>
      <c r="T1990" t="s">
        <v>1198</v>
      </c>
      <c r="U1990">
        <v>5.7</v>
      </c>
      <c r="V1990" t="s">
        <v>1199</v>
      </c>
      <c r="X1990" t="s">
        <v>731</v>
      </c>
    </row>
    <row r="1991" spans="1:24">
      <c r="A1991" t="str">
        <f>Hyperlink("https://www.diodes.com/part/view/ZXMN6A25DN8","ZXMN6A25DN8")</f>
        <v>ZXMN6A25DN8</v>
      </c>
      <c r="B1991" t="str">
        <f>Hyperlink("https://www.diodes.com/assets/Datasheets/ZXMN6A25DN8.pdf","ZXMN6A25DN8 Datasheet")</f>
        <v>ZXMN6A25DN8 Datasheet</v>
      </c>
      <c r="C1991" t="s">
        <v>34</v>
      </c>
      <c r="D1991" t="s">
        <v>25</v>
      </c>
      <c r="E1991" t="s">
        <v>26</v>
      </c>
      <c r="F1991" t="s">
        <v>35</v>
      </c>
      <c r="G1991" t="s">
        <v>28</v>
      </c>
      <c r="H1991">
        <v>60</v>
      </c>
      <c r="I1991">
        <v>20</v>
      </c>
      <c r="J1991">
        <v>5</v>
      </c>
      <c r="L1991">
        <v>1.8</v>
      </c>
      <c r="N1991">
        <v>50</v>
      </c>
      <c r="O1991">
        <v>70</v>
      </c>
      <c r="S1991">
        <v>1</v>
      </c>
      <c r="T1991" t="s">
        <v>1200</v>
      </c>
      <c r="U1991">
        <v>20.4</v>
      </c>
      <c r="V1991">
        <v>1063</v>
      </c>
      <c r="X1991" t="s">
        <v>155</v>
      </c>
    </row>
    <row r="1992" spans="1:24">
      <c r="A1992" t="str">
        <f>Hyperlink("https://www.diodes.com/part/view/ZXMN6A25G","ZXMN6A25G")</f>
        <v>ZXMN6A25G</v>
      </c>
      <c r="B1992" t="str">
        <f>Hyperlink("https://www.diodes.com/assets/Datasheets/ZXMN6A25G.pdf","ZXMN6A25G Datasheet")</f>
        <v>ZXMN6A25G Datasheet</v>
      </c>
      <c r="C1992" t="s">
        <v>766</v>
      </c>
      <c r="D1992" t="s">
        <v>25</v>
      </c>
      <c r="E1992" t="s">
        <v>26</v>
      </c>
      <c r="F1992" t="s">
        <v>27</v>
      </c>
      <c r="G1992" t="s">
        <v>28</v>
      </c>
      <c r="H1992">
        <v>60</v>
      </c>
      <c r="I1992">
        <v>20</v>
      </c>
      <c r="J1992">
        <v>6.7</v>
      </c>
      <c r="L1992">
        <v>2</v>
      </c>
      <c r="N1992">
        <v>50</v>
      </c>
      <c r="O1992">
        <v>70</v>
      </c>
      <c r="S1992">
        <v>1</v>
      </c>
      <c r="T1992" t="s">
        <v>1200</v>
      </c>
      <c r="U1992">
        <v>20.4</v>
      </c>
      <c r="V1992">
        <v>1063</v>
      </c>
      <c r="X1992" t="s">
        <v>1049</v>
      </c>
    </row>
    <row r="1993" spans="1:24">
      <c r="A1993" t="str">
        <f>Hyperlink("https://www.diodes.com/part/view/ZXMN6A25K","ZXMN6A25K")</f>
        <v>ZXMN6A25K</v>
      </c>
      <c r="B1993" t="str">
        <f>Hyperlink("https://www.diodes.com/assets/Datasheets/ZXMN6A25K.pdf","ZXMN6A25K Datasheet")</f>
        <v>ZXMN6A25K Datasheet</v>
      </c>
      <c r="C1993" t="s">
        <v>766</v>
      </c>
      <c r="D1993" t="s">
        <v>25</v>
      </c>
      <c r="E1993" t="s">
        <v>26</v>
      </c>
      <c r="F1993" t="s">
        <v>27</v>
      </c>
      <c r="G1993" t="s">
        <v>28</v>
      </c>
      <c r="H1993">
        <v>60</v>
      </c>
      <c r="I1993">
        <v>20</v>
      </c>
      <c r="J1993">
        <v>10.7</v>
      </c>
      <c r="L1993">
        <v>2.11</v>
      </c>
      <c r="N1993">
        <v>50</v>
      </c>
      <c r="O1993">
        <v>70</v>
      </c>
      <c r="S1993">
        <v>3</v>
      </c>
      <c r="T1993" t="s">
        <v>1200</v>
      </c>
      <c r="U1993">
        <v>20.4</v>
      </c>
      <c r="V1993">
        <v>1063</v>
      </c>
      <c r="X1993" t="s">
        <v>507</v>
      </c>
    </row>
    <row r="1994" spans="1:24">
      <c r="A1994" t="str">
        <f>Hyperlink("https://www.diodes.com/part/view/ZXMN6A25N8","ZXMN6A25N8")</f>
        <v>ZXMN6A25N8</v>
      </c>
      <c r="B1994" t="str">
        <f>Hyperlink("https://www.diodes.com/assets/Datasheets/ZXMN6A25N8.pdf","ZXMN6A25N8 Datasheet")</f>
        <v>ZXMN6A25N8 Datasheet</v>
      </c>
      <c r="C1994" t="s">
        <v>766</v>
      </c>
      <c r="D1994" t="s">
        <v>25</v>
      </c>
      <c r="E1994" t="s">
        <v>26</v>
      </c>
      <c r="F1994" t="s">
        <v>27</v>
      </c>
      <c r="G1994" t="s">
        <v>28</v>
      </c>
      <c r="H1994">
        <v>60</v>
      </c>
      <c r="I1994">
        <v>20</v>
      </c>
      <c r="J1994">
        <v>5.7</v>
      </c>
      <c r="L1994">
        <v>1.56</v>
      </c>
      <c r="N1994">
        <v>50</v>
      </c>
      <c r="O1994">
        <v>70</v>
      </c>
      <c r="S1994">
        <v>3</v>
      </c>
      <c r="T1994" t="s">
        <v>1200</v>
      </c>
      <c r="U1994">
        <v>20.4</v>
      </c>
      <c r="V1994">
        <v>1063</v>
      </c>
      <c r="X1994" t="s">
        <v>155</v>
      </c>
    </row>
    <row r="1995" spans="1:24">
      <c r="A1995" t="str">
        <f>Hyperlink("https://www.diodes.com/part/view/ZXMN7A11G","ZXMN7A11G")</f>
        <v>ZXMN7A11G</v>
      </c>
      <c r="B1995" t="str">
        <f>Hyperlink("https://www.diodes.com/assets/Datasheets/ZXMN7A11G.pdf","ZXMN7A11G Datasheet")</f>
        <v>ZXMN7A11G Datasheet</v>
      </c>
      <c r="C1995" t="s">
        <v>642</v>
      </c>
      <c r="D1995" t="s">
        <v>25</v>
      </c>
      <c r="E1995" t="s">
        <v>26</v>
      </c>
      <c r="F1995" t="s">
        <v>27</v>
      </c>
      <c r="G1995" t="s">
        <v>28</v>
      </c>
      <c r="H1995">
        <v>70</v>
      </c>
      <c r="I1995">
        <v>20</v>
      </c>
      <c r="J1995">
        <v>3.8</v>
      </c>
      <c r="L1995">
        <v>2</v>
      </c>
      <c r="N1995">
        <v>130</v>
      </c>
      <c r="O1995">
        <v>190</v>
      </c>
      <c r="S1995">
        <v>1</v>
      </c>
      <c r="T1995" t="s">
        <v>1201</v>
      </c>
      <c r="U1995">
        <v>7.4</v>
      </c>
      <c r="V1995" t="s">
        <v>1202</v>
      </c>
      <c r="X1995" t="s">
        <v>1049</v>
      </c>
    </row>
    <row r="1996" spans="1:24">
      <c r="A1996" t="str">
        <f>Hyperlink("https://www.diodes.com/part/view/ZXMN7A11GQ","ZXMN7A11GQ")</f>
        <v>ZXMN7A11GQ</v>
      </c>
      <c r="B1996" t="str">
        <f>Hyperlink("https://www.diodes.com/assets/Datasheets/ZXMN7A11GQ.pdf","ZXMN7A11GQ Datasheet")</f>
        <v>ZXMN7A11GQ Datasheet</v>
      </c>
      <c r="C1996" t="s">
        <v>642</v>
      </c>
      <c r="D1996" t="s">
        <v>25</v>
      </c>
      <c r="E1996" t="s">
        <v>33</v>
      </c>
      <c r="F1996" t="s">
        <v>27</v>
      </c>
      <c r="G1996" t="s">
        <v>28</v>
      </c>
      <c r="H1996">
        <v>70</v>
      </c>
      <c r="I1996">
        <v>20</v>
      </c>
      <c r="J1996">
        <v>3.8</v>
      </c>
      <c r="L1996">
        <v>2</v>
      </c>
      <c r="N1996">
        <v>130</v>
      </c>
      <c r="O1996">
        <v>190</v>
      </c>
      <c r="S1996">
        <v>1</v>
      </c>
      <c r="T1996" t="s">
        <v>1201</v>
      </c>
      <c r="U1996">
        <v>7.4</v>
      </c>
      <c r="V1996">
        <v>298</v>
      </c>
      <c r="W1996">
        <v>50</v>
      </c>
      <c r="X1996" t="s">
        <v>1049</v>
      </c>
    </row>
    <row r="1997" spans="1:24">
      <c r="A1997" t="str">
        <f>Hyperlink("https://www.diodes.com/part/view/ZXMN7A11K","ZXMN7A11K")</f>
        <v>ZXMN7A11K</v>
      </c>
      <c r="B1997" t="str">
        <f>Hyperlink("https://www.diodes.com/assets/Datasheets/ZXMN7A11K.pdf","ZXMN7A11K Datasheet")</f>
        <v>ZXMN7A11K Datasheet</v>
      </c>
      <c r="C1997" t="s">
        <v>642</v>
      </c>
      <c r="D1997" t="s">
        <v>25</v>
      </c>
      <c r="E1997" t="s">
        <v>26</v>
      </c>
      <c r="F1997" t="s">
        <v>27</v>
      </c>
      <c r="G1997" t="s">
        <v>28</v>
      </c>
      <c r="H1997">
        <v>70</v>
      </c>
      <c r="I1997">
        <v>20</v>
      </c>
      <c r="J1997">
        <v>6.1</v>
      </c>
      <c r="L1997">
        <v>2.11</v>
      </c>
      <c r="N1997">
        <v>130</v>
      </c>
      <c r="O1997">
        <v>190</v>
      </c>
      <c r="S1997">
        <v>1</v>
      </c>
      <c r="T1997" t="s">
        <v>1201</v>
      </c>
      <c r="U1997">
        <v>7.4</v>
      </c>
      <c r="V1997" t="s">
        <v>1202</v>
      </c>
      <c r="X1997" t="s">
        <v>507</v>
      </c>
    </row>
    <row r="1998" spans="1:24">
      <c r="A1998" t="str">
        <f>Hyperlink("https://www.diodes.com/part/view/ZXMP10A13F","ZXMP10A13F")</f>
        <v>ZXMP10A13F</v>
      </c>
      <c r="B1998" t="str">
        <f>Hyperlink("https://www.diodes.com/assets/Datasheets/ZXMP10A13F.pdf","ZXMP10A13F Datasheet")</f>
        <v>ZXMP10A13F Datasheet</v>
      </c>
      <c r="C1998" t="s">
        <v>51</v>
      </c>
      <c r="D1998" t="s">
        <v>25</v>
      </c>
      <c r="E1998" t="s">
        <v>26</v>
      </c>
      <c r="F1998" t="s">
        <v>52</v>
      </c>
      <c r="G1998" t="s">
        <v>28</v>
      </c>
      <c r="H1998">
        <v>100</v>
      </c>
      <c r="I1998">
        <v>20</v>
      </c>
      <c r="J1998">
        <v>0.7</v>
      </c>
      <c r="L1998">
        <v>0.625</v>
      </c>
      <c r="N1998">
        <v>1000</v>
      </c>
      <c r="O1998" t="s">
        <v>1203</v>
      </c>
      <c r="S1998">
        <v>4</v>
      </c>
      <c r="T1998" t="s">
        <v>1204</v>
      </c>
      <c r="U1998">
        <v>3.5</v>
      </c>
      <c r="V1998">
        <v>141</v>
      </c>
      <c r="X1998" t="s">
        <v>32</v>
      </c>
    </row>
    <row r="1999" spans="1:24">
      <c r="A1999" t="str">
        <f>Hyperlink("https://www.diodes.com/part/view/ZXMP10A13FQ","ZXMP10A13FQ")</f>
        <v>ZXMP10A13FQ</v>
      </c>
      <c r="B1999" t="str">
        <f>Hyperlink("https://www.diodes.com/assets/Datasheets/ZXMP10A13FQ.pdf","ZXMP10A13FQ Datasheet")</f>
        <v>ZXMP10A13FQ Datasheet</v>
      </c>
      <c r="C1999" t="s">
        <v>787</v>
      </c>
      <c r="D1999" t="s">
        <v>25</v>
      </c>
      <c r="E1999" t="s">
        <v>33</v>
      </c>
      <c r="F1999" t="s">
        <v>52</v>
      </c>
      <c r="G1999" t="s">
        <v>28</v>
      </c>
      <c r="H1999">
        <v>100</v>
      </c>
      <c r="I1999">
        <v>20</v>
      </c>
      <c r="J1999">
        <v>0.7</v>
      </c>
      <c r="L1999">
        <v>0.625</v>
      </c>
      <c r="N1999">
        <v>1000</v>
      </c>
      <c r="O1999" t="s">
        <v>1203</v>
      </c>
      <c r="S1999">
        <v>4</v>
      </c>
      <c r="T1999" t="s">
        <v>1204</v>
      </c>
      <c r="U1999">
        <v>3.5</v>
      </c>
      <c r="X1999" t="s">
        <v>32</v>
      </c>
    </row>
    <row r="2000" spans="1:24">
      <c r="A2000" t="str">
        <f>Hyperlink("https://www.diodes.com/part/view/ZXMP10A16K","ZXMP10A16K")</f>
        <v>ZXMP10A16K</v>
      </c>
      <c r="B2000" t="str">
        <f>Hyperlink("https://www.diodes.com/assets/Datasheets/ZXMP10A16K.pdf","ZXMP10A16K Datasheet")</f>
        <v>ZXMP10A16K Datasheet</v>
      </c>
      <c r="C2000" t="s">
        <v>51</v>
      </c>
      <c r="D2000" t="s">
        <v>25</v>
      </c>
      <c r="E2000" t="s">
        <v>26</v>
      </c>
      <c r="F2000" t="s">
        <v>52</v>
      </c>
      <c r="G2000" t="s">
        <v>28</v>
      </c>
      <c r="H2000">
        <v>100</v>
      </c>
      <c r="I2000">
        <v>20</v>
      </c>
      <c r="J2000">
        <v>4.6</v>
      </c>
      <c r="L2000">
        <v>2.15</v>
      </c>
      <c r="N2000">
        <v>235</v>
      </c>
      <c r="O2000" t="s">
        <v>1205</v>
      </c>
      <c r="S2000">
        <v>4</v>
      </c>
      <c r="U2000">
        <v>16.5</v>
      </c>
      <c r="V2000">
        <v>717</v>
      </c>
      <c r="X2000" t="s">
        <v>507</v>
      </c>
    </row>
    <row r="2001" spans="1:24">
      <c r="A2001" t="str">
        <f>Hyperlink("https://www.diodes.com/part/view/ZXMP10A17E6","ZXMP10A17E6")</f>
        <v>ZXMP10A17E6</v>
      </c>
      <c r="B2001" t="str">
        <f>Hyperlink("https://www.diodes.com/assets/Datasheets/ZXMP10A17E6.pdf","ZXMP10A17E6 Datasheet")</f>
        <v>ZXMP10A17E6 Datasheet</v>
      </c>
      <c r="C2001" t="s">
        <v>51</v>
      </c>
      <c r="D2001" t="s">
        <v>25</v>
      </c>
      <c r="E2001" t="s">
        <v>26</v>
      </c>
      <c r="F2001" t="s">
        <v>52</v>
      </c>
      <c r="G2001" t="s">
        <v>28</v>
      </c>
      <c r="H2001">
        <v>100</v>
      </c>
      <c r="I2001">
        <v>20</v>
      </c>
      <c r="J2001">
        <v>1.6</v>
      </c>
      <c r="L2001">
        <v>1.1</v>
      </c>
      <c r="N2001">
        <v>350</v>
      </c>
      <c r="O2001" t="s">
        <v>1206</v>
      </c>
      <c r="S2001">
        <v>4</v>
      </c>
      <c r="T2001" t="s">
        <v>1207</v>
      </c>
      <c r="U2001">
        <v>10.7</v>
      </c>
      <c r="V2001">
        <v>424</v>
      </c>
      <c r="X2001" t="s">
        <v>261</v>
      </c>
    </row>
    <row r="2002" spans="1:24">
      <c r="A2002" t="str">
        <f>Hyperlink("https://www.diodes.com/part/view/ZXMP10A17E6Q","ZXMP10A17E6Q")</f>
        <v>ZXMP10A17E6Q</v>
      </c>
      <c r="B2002" t="str">
        <f>Hyperlink("https://www.diodes.com/assets/Datasheets/ZXMP10A17E6Q.pdf","ZXMP10A17E6Q Datasheet")</f>
        <v>ZXMP10A17E6Q Datasheet</v>
      </c>
      <c r="C2002" t="s">
        <v>787</v>
      </c>
      <c r="D2002" t="s">
        <v>25</v>
      </c>
      <c r="E2002" t="s">
        <v>33</v>
      </c>
      <c r="F2002" t="s">
        <v>52</v>
      </c>
      <c r="G2002" t="s">
        <v>28</v>
      </c>
      <c r="H2002">
        <v>100</v>
      </c>
      <c r="I2002">
        <v>20</v>
      </c>
      <c r="J2002">
        <v>1.6</v>
      </c>
      <c r="L2002">
        <v>1.1</v>
      </c>
      <c r="N2002">
        <v>350</v>
      </c>
      <c r="O2002" t="s">
        <v>1206</v>
      </c>
      <c r="S2002">
        <v>4</v>
      </c>
      <c r="T2002" t="s">
        <v>1207</v>
      </c>
      <c r="U2002">
        <v>10.7</v>
      </c>
      <c r="X2002" t="s">
        <v>261</v>
      </c>
    </row>
    <row r="2003" spans="1:24">
      <c r="A2003" t="str">
        <f>Hyperlink("https://www.diodes.com/part/view/ZXMP10A17G","ZXMP10A17G")</f>
        <v>ZXMP10A17G</v>
      </c>
      <c r="B2003" t="str">
        <f>Hyperlink("https://www.diodes.com/assets/Datasheets/ZXMP10A17G.pdf","ZXMP10A17G Datasheet")</f>
        <v>ZXMP10A17G Datasheet</v>
      </c>
      <c r="C2003" t="s">
        <v>51</v>
      </c>
      <c r="D2003" t="s">
        <v>25</v>
      </c>
      <c r="E2003" t="s">
        <v>26</v>
      </c>
      <c r="F2003" t="s">
        <v>52</v>
      </c>
      <c r="G2003" t="s">
        <v>28</v>
      </c>
      <c r="H2003">
        <v>100</v>
      </c>
      <c r="I2003">
        <v>20</v>
      </c>
      <c r="J2003">
        <v>2.4</v>
      </c>
      <c r="L2003">
        <v>2</v>
      </c>
      <c r="N2003">
        <v>350</v>
      </c>
      <c r="O2003" t="s">
        <v>1206</v>
      </c>
      <c r="S2003">
        <v>4</v>
      </c>
      <c r="T2003" t="s">
        <v>1207</v>
      </c>
      <c r="U2003">
        <v>10.7</v>
      </c>
      <c r="V2003">
        <v>424</v>
      </c>
      <c r="X2003" t="s">
        <v>1049</v>
      </c>
    </row>
    <row r="2004" spans="1:24">
      <c r="A2004" t="str">
        <f>Hyperlink("https://www.diodes.com/part/view/ZXMP10A17GQ","ZXMP10A17GQ")</f>
        <v>ZXMP10A17GQ</v>
      </c>
      <c r="B2004" t="str">
        <f>Hyperlink("https://www.diodes.com/assets/Datasheets/ZXMP10A17GQ.pdf","ZXMP10A17GQ Datasheet")</f>
        <v>ZXMP10A17GQ Datasheet</v>
      </c>
      <c r="C2004" t="s">
        <v>787</v>
      </c>
      <c r="D2004" t="s">
        <v>25</v>
      </c>
      <c r="E2004" t="s">
        <v>33</v>
      </c>
      <c r="F2004" t="s">
        <v>52</v>
      </c>
      <c r="G2004" t="s">
        <v>28</v>
      </c>
      <c r="H2004">
        <v>100</v>
      </c>
      <c r="I2004">
        <v>20</v>
      </c>
      <c r="J2004">
        <v>2.4</v>
      </c>
      <c r="L2004">
        <v>2</v>
      </c>
      <c r="N2004">
        <v>350</v>
      </c>
      <c r="O2004" t="s">
        <v>1206</v>
      </c>
      <c r="S2004">
        <v>4</v>
      </c>
      <c r="T2004" t="s">
        <v>1207</v>
      </c>
      <c r="U2004">
        <v>10.7</v>
      </c>
      <c r="V2004">
        <v>424</v>
      </c>
      <c r="W2004">
        <v>50</v>
      </c>
      <c r="X2004" t="s">
        <v>1049</v>
      </c>
    </row>
    <row r="2005" spans="1:24">
      <c r="A2005" t="str">
        <f>Hyperlink("https://www.diodes.com/part/view/ZXMP10A17K","ZXMP10A17K")</f>
        <v>ZXMP10A17K</v>
      </c>
      <c r="B2005" t="str">
        <f>Hyperlink("https://www.diodes.com/assets/Datasheets/ZXMP10A17K.pdf","ZXMP10A17K Datasheet")</f>
        <v>ZXMP10A17K Datasheet</v>
      </c>
      <c r="C2005" t="s">
        <v>51</v>
      </c>
      <c r="D2005" t="s">
        <v>25</v>
      </c>
      <c r="E2005" t="s">
        <v>26</v>
      </c>
      <c r="F2005" t="s">
        <v>52</v>
      </c>
      <c r="G2005" t="s">
        <v>28</v>
      </c>
      <c r="H2005">
        <v>100</v>
      </c>
      <c r="I2005">
        <v>20</v>
      </c>
      <c r="J2005">
        <v>3.9</v>
      </c>
      <c r="L2005">
        <v>4</v>
      </c>
      <c r="N2005">
        <v>350</v>
      </c>
      <c r="O2005" t="s">
        <v>1206</v>
      </c>
      <c r="S2005">
        <v>4</v>
      </c>
      <c r="T2005" t="s">
        <v>1207</v>
      </c>
      <c r="U2005">
        <v>10.7</v>
      </c>
      <c r="V2005">
        <v>424</v>
      </c>
      <c r="X2005" t="s">
        <v>507</v>
      </c>
    </row>
    <row r="2006" spans="1:24">
      <c r="A2006" t="str">
        <f>Hyperlink("https://www.diodes.com/part/view/ZXMP10A18G","ZXMP10A18G")</f>
        <v>ZXMP10A18G</v>
      </c>
      <c r="B2006" t="str">
        <f>Hyperlink("https://www.diodes.com/assets/Datasheets/ZXMP10A18G.pdf","ZXMP10A18G Datasheet")</f>
        <v>ZXMP10A18G Datasheet</v>
      </c>
      <c r="C2006" t="s">
        <v>51</v>
      </c>
      <c r="D2006" t="s">
        <v>25</v>
      </c>
      <c r="E2006" t="s">
        <v>26</v>
      </c>
      <c r="F2006" t="s">
        <v>52</v>
      </c>
      <c r="G2006" t="s">
        <v>28</v>
      </c>
      <c r="H2006">
        <v>100</v>
      </c>
      <c r="I2006">
        <v>20</v>
      </c>
      <c r="J2006">
        <v>3.7</v>
      </c>
      <c r="L2006">
        <v>2</v>
      </c>
      <c r="N2006">
        <v>150</v>
      </c>
      <c r="O2006" t="s">
        <v>1208</v>
      </c>
      <c r="S2006">
        <v>4</v>
      </c>
      <c r="U2006">
        <v>26.9</v>
      </c>
      <c r="V2006">
        <v>1055</v>
      </c>
      <c r="X2006" t="s">
        <v>1049</v>
      </c>
    </row>
    <row r="2007" spans="1:24">
      <c r="A2007" t="str">
        <f>Hyperlink("https://www.diodes.com/part/view/ZXMP10A18K","ZXMP10A18K")</f>
        <v>ZXMP10A18K</v>
      </c>
      <c r="B2007" t="str">
        <f>Hyperlink("https://www.diodes.com/assets/Datasheets/ZXMP10A18K.pdf","ZXMP10A18K Datasheet")</f>
        <v>ZXMP10A18K Datasheet</v>
      </c>
      <c r="C2007" t="s">
        <v>51</v>
      </c>
      <c r="D2007" t="s">
        <v>25</v>
      </c>
      <c r="E2007" t="s">
        <v>26</v>
      </c>
      <c r="F2007" t="s">
        <v>52</v>
      </c>
      <c r="G2007" t="s">
        <v>28</v>
      </c>
      <c r="H2007">
        <v>100</v>
      </c>
      <c r="I2007">
        <v>20</v>
      </c>
      <c r="J2007">
        <v>5.9</v>
      </c>
      <c r="L2007">
        <v>2.17</v>
      </c>
      <c r="N2007">
        <v>150</v>
      </c>
      <c r="O2007" t="s">
        <v>1208</v>
      </c>
      <c r="S2007">
        <v>4</v>
      </c>
      <c r="U2007">
        <v>26.9</v>
      </c>
      <c r="V2007">
        <v>1055</v>
      </c>
      <c r="X2007" t="s">
        <v>507</v>
      </c>
    </row>
    <row r="2008" spans="1:24">
      <c r="A2008" t="str">
        <f>Hyperlink("https://www.diodes.com/part/view/ZXMP10A18KQ","ZXMP10A18KQ")</f>
        <v>ZXMP10A18KQ</v>
      </c>
      <c r="B2008" t="str">
        <f>Hyperlink("https://www.diodes.com/assets/Datasheets/ZXMP10A18KQ.pdf","ZXMP10A18KQ Datasheet")</f>
        <v>ZXMP10A18KQ Datasheet</v>
      </c>
      <c r="C2008" t="s">
        <v>777</v>
      </c>
      <c r="D2008" t="s">
        <v>25</v>
      </c>
      <c r="E2008" t="s">
        <v>33</v>
      </c>
      <c r="F2008" t="s">
        <v>52</v>
      </c>
      <c r="G2008" t="s">
        <v>28</v>
      </c>
      <c r="H2008">
        <v>100</v>
      </c>
      <c r="I2008">
        <v>20</v>
      </c>
      <c r="K2008">
        <v>15</v>
      </c>
      <c r="L2008">
        <v>3.3</v>
      </c>
      <c r="M2008">
        <v>71</v>
      </c>
      <c r="N2008">
        <v>150</v>
      </c>
      <c r="O2008" t="s">
        <v>1209</v>
      </c>
      <c r="R2008">
        <v>2</v>
      </c>
      <c r="S2008">
        <v>4</v>
      </c>
      <c r="U2008">
        <v>26.9</v>
      </c>
      <c r="V2008">
        <v>1055</v>
      </c>
      <c r="W2008">
        <v>50</v>
      </c>
      <c r="X2008" t="s">
        <v>507</v>
      </c>
    </row>
    <row r="2009" spans="1:24">
      <c r="A2009" t="str">
        <f>Hyperlink("https://www.diodes.com/part/view/ZXMP2120FF","ZXMP2120FF")</f>
        <v>ZXMP2120FF</v>
      </c>
      <c r="B2009" t="str">
        <f>Hyperlink("https://www.diodes.com/assets/Datasheets/ZXMP2120FF.pdf","ZXMP2120FF Datasheet")</f>
        <v>ZXMP2120FF Datasheet</v>
      </c>
      <c r="C2009" t="s">
        <v>51</v>
      </c>
      <c r="D2009" t="s">
        <v>25</v>
      </c>
      <c r="E2009" t="s">
        <v>26</v>
      </c>
      <c r="F2009" t="s">
        <v>52</v>
      </c>
      <c r="G2009" t="s">
        <v>28</v>
      </c>
      <c r="H2009">
        <v>200</v>
      </c>
      <c r="I2009">
        <v>20</v>
      </c>
      <c r="J2009">
        <v>0.137</v>
      </c>
      <c r="L2009">
        <v>1</v>
      </c>
      <c r="N2009">
        <v>28000</v>
      </c>
      <c r="S2009">
        <v>3.5</v>
      </c>
      <c r="V2009" t="s">
        <v>1061</v>
      </c>
      <c r="X2009" t="s">
        <v>1210</v>
      </c>
    </row>
    <row r="2010" spans="1:24">
      <c r="A2010" t="str">
        <f>Hyperlink("https://www.diodes.com/part/view/ZXMP3A13F","ZXMP3A13F")</f>
        <v>ZXMP3A13F</v>
      </c>
      <c r="B2010" t="str">
        <f>Hyperlink("https://www.diodes.com/assets/Datasheets/ZXMP3A13F.pdf","ZXMP3A13F Datasheet")</f>
        <v>ZXMP3A13F Datasheet</v>
      </c>
      <c r="C2010" t="s">
        <v>51</v>
      </c>
      <c r="D2010" t="s">
        <v>25</v>
      </c>
      <c r="E2010" t="s">
        <v>26</v>
      </c>
      <c r="F2010" t="s">
        <v>52</v>
      </c>
      <c r="G2010" t="s">
        <v>28</v>
      </c>
      <c r="H2010">
        <v>30</v>
      </c>
      <c r="I2010">
        <v>20</v>
      </c>
      <c r="J2010">
        <v>1.6</v>
      </c>
      <c r="L2010">
        <v>0.625</v>
      </c>
      <c r="N2010">
        <v>210</v>
      </c>
      <c r="O2010">
        <v>330</v>
      </c>
      <c r="S2010">
        <v>1</v>
      </c>
      <c r="T2010" t="s">
        <v>1211</v>
      </c>
      <c r="U2010">
        <v>6.4</v>
      </c>
      <c r="V2010">
        <v>206</v>
      </c>
      <c r="X2010" t="s">
        <v>32</v>
      </c>
    </row>
    <row r="2011" spans="1:24">
      <c r="A2011" t="str">
        <f>Hyperlink("https://www.diodes.com/part/view/ZXMP3A16DN8","ZXMP3A16DN8")</f>
        <v>ZXMP3A16DN8</v>
      </c>
      <c r="B2011" t="str">
        <f>Hyperlink("https://www.diodes.com/assets/Datasheets/ZXMP3A16DN8.pdf","ZXMP3A16DN8 Datasheet")</f>
        <v>ZXMP3A16DN8 Datasheet</v>
      </c>
      <c r="C2011" t="s">
        <v>77</v>
      </c>
      <c r="D2011" t="s">
        <v>25</v>
      </c>
      <c r="E2011" t="s">
        <v>26</v>
      </c>
      <c r="F2011" t="s">
        <v>78</v>
      </c>
      <c r="G2011" t="s">
        <v>28</v>
      </c>
      <c r="H2011">
        <v>30</v>
      </c>
      <c r="I2011">
        <v>20</v>
      </c>
      <c r="J2011">
        <v>5.5</v>
      </c>
      <c r="L2011">
        <v>1.8</v>
      </c>
      <c r="N2011">
        <v>45</v>
      </c>
      <c r="O2011">
        <v>70</v>
      </c>
      <c r="S2011">
        <v>1</v>
      </c>
      <c r="T2011" t="s">
        <v>1171</v>
      </c>
      <c r="U2011">
        <v>29.6</v>
      </c>
      <c r="X2011" t="s">
        <v>155</v>
      </c>
    </row>
    <row r="2012" spans="1:24">
      <c r="A2012" t="str">
        <f>Hyperlink("https://www.diodes.com/part/view/ZXMP3A16G","ZXMP3A16G")</f>
        <v>ZXMP3A16G</v>
      </c>
      <c r="B2012" t="str">
        <f>Hyperlink("https://www.diodes.com/assets/Datasheets/ZXMP3A16G.pdf","ZXMP3A16G Datasheet")</f>
        <v>ZXMP3A16G Datasheet</v>
      </c>
      <c r="C2012" t="s">
        <v>51</v>
      </c>
      <c r="D2012" t="s">
        <v>25</v>
      </c>
      <c r="E2012" t="s">
        <v>26</v>
      </c>
      <c r="F2012" t="s">
        <v>52</v>
      </c>
      <c r="G2012" t="s">
        <v>28</v>
      </c>
      <c r="H2012">
        <v>30</v>
      </c>
      <c r="I2012">
        <v>20</v>
      </c>
      <c r="J2012">
        <v>7.5</v>
      </c>
      <c r="L2012">
        <v>2</v>
      </c>
      <c r="N2012">
        <v>45</v>
      </c>
      <c r="O2012">
        <v>70</v>
      </c>
      <c r="S2012">
        <v>1</v>
      </c>
      <c r="T2012" t="s">
        <v>1171</v>
      </c>
      <c r="U2012">
        <v>29.6</v>
      </c>
      <c r="V2012">
        <v>1022</v>
      </c>
      <c r="X2012" t="s">
        <v>586</v>
      </c>
    </row>
    <row r="2013" spans="1:24">
      <c r="A2013" t="str">
        <f>Hyperlink("https://www.diodes.com/part/view/ZXMP3A16N8","ZXMP3A16N8")</f>
        <v>ZXMP3A16N8</v>
      </c>
      <c r="B2013" t="str">
        <f>Hyperlink("https://www.diodes.com/assets/Datasheets/ZXMP3A16N8.pdf","ZXMP3A16N8 Datasheet")</f>
        <v>ZXMP3A16N8 Datasheet</v>
      </c>
      <c r="C2013" t="s">
        <v>51</v>
      </c>
      <c r="D2013" t="s">
        <v>25</v>
      </c>
      <c r="E2013" t="s">
        <v>26</v>
      </c>
      <c r="F2013" t="s">
        <v>52</v>
      </c>
      <c r="G2013" t="s">
        <v>28</v>
      </c>
      <c r="H2013">
        <v>30</v>
      </c>
      <c r="I2013">
        <v>20</v>
      </c>
      <c r="J2013">
        <v>6.7</v>
      </c>
      <c r="L2013">
        <v>1.9</v>
      </c>
      <c r="N2013">
        <v>40</v>
      </c>
      <c r="O2013">
        <v>70</v>
      </c>
      <c r="S2013">
        <v>1</v>
      </c>
      <c r="T2013" t="s">
        <v>1171</v>
      </c>
      <c r="U2013">
        <v>29.6</v>
      </c>
      <c r="X2013" t="s">
        <v>155</v>
      </c>
    </row>
    <row r="2014" spans="1:24">
      <c r="A2014" t="str">
        <f>Hyperlink("https://www.diodes.com/part/view/ZXMP3A17DN8","ZXMP3A17DN8")</f>
        <v>ZXMP3A17DN8</v>
      </c>
      <c r="B2014" t="str">
        <f>Hyperlink("https://www.diodes.com/assets/Datasheets/ZXMP3A17DN8.pdf","ZXMP3A17DN8 Datasheet")</f>
        <v>ZXMP3A17DN8 Datasheet</v>
      </c>
      <c r="C2014" t="s">
        <v>77</v>
      </c>
      <c r="D2014" t="s">
        <v>25</v>
      </c>
      <c r="E2014" t="s">
        <v>26</v>
      </c>
      <c r="F2014" t="s">
        <v>78</v>
      </c>
      <c r="G2014" t="s">
        <v>28</v>
      </c>
      <c r="H2014">
        <v>30</v>
      </c>
      <c r="I2014">
        <v>20</v>
      </c>
      <c r="J2014">
        <v>4.4</v>
      </c>
      <c r="L2014">
        <v>1.8</v>
      </c>
      <c r="N2014">
        <v>70</v>
      </c>
      <c r="O2014">
        <v>110</v>
      </c>
      <c r="S2014">
        <v>1</v>
      </c>
      <c r="T2014" t="s">
        <v>1212</v>
      </c>
      <c r="U2014">
        <v>15.8</v>
      </c>
      <c r="X2014" t="s">
        <v>155</v>
      </c>
    </row>
    <row r="2015" spans="1:24">
      <c r="A2015" t="str">
        <f>Hyperlink("https://www.diodes.com/part/view/ZXMP3A17E6","ZXMP3A17E6")</f>
        <v>ZXMP3A17E6</v>
      </c>
      <c r="B2015" t="str">
        <f>Hyperlink("https://www.diodes.com/assets/Datasheets/ZXMP3A17E6.pdf","ZXMP3A17E6 Datasheet")</f>
        <v>ZXMP3A17E6 Datasheet</v>
      </c>
      <c r="C2015" t="s">
        <v>51</v>
      </c>
      <c r="D2015" t="s">
        <v>25</v>
      </c>
      <c r="E2015" t="s">
        <v>26</v>
      </c>
      <c r="F2015" t="s">
        <v>52</v>
      </c>
      <c r="G2015" t="s">
        <v>28</v>
      </c>
      <c r="H2015">
        <v>30</v>
      </c>
      <c r="I2015">
        <v>20</v>
      </c>
      <c r="J2015">
        <v>4</v>
      </c>
      <c r="L2015">
        <v>1.1</v>
      </c>
      <c r="N2015">
        <v>70</v>
      </c>
      <c r="O2015">
        <v>110</v>
      </c>
      <c r="S2015">
        <v>1</v>
      </c>
      <c r="T2015" t="s">
        <v>1212</v>
      </c>
      <c r="U2015">
        <v>15.8</v>
      </c>
      <c r="V2015">
        <v>630</v>
      </c>
      <c r="X2015" t="s">
        <v>261</v>
      </c>
    </row>
    <row r="2016" spans="1:24">
      <c r="A2016" t="str">
        <f>Hyperlink("https://www.diodes.com/part/view/ZXMP3F30FH","ZXMP3F30FH")</f>
        <v>ZXMP3F30FH</v>
      </c>
      <c r="B2016" t="str">
        <f>Hyperlink("https://www.diodes.com/assets/Datasheets/ZXMP3F30FH.pdf","ZXMP3F30FH Datasheet")</f>
        <v>ZXMP3F30FH Datasheet</v>
      </c>
      <c r="C2016" t="s">
        <v>51</v>
      </c>
      <c r="D2016" t="s">
        <v>25</v>
      </c>
      <c r="E2016" t="s">
        <v>26</v>
      </c>
      <c r="F2016" t="s">
        <v>52</v>
      </c>
      <c r="G2016" t="s">
        <v>28</v>
      </c>
      <c r="H2016">
        <v>30</v>
      </c>
      <c r="I2016">
        <v>20</v>
      </c>
      <c r="J2016">
        <v>3.4</v>
      </c>
      <c r="L2016">
        <v>0.95</v>
      </c>
      <c r="N2016">
        <v>80</v>
      </c>
      <c r="O2016">
        <v>140</v>
      </c>
      <c r="S2016">
        <v>3</v>
      </c>
      <c r="U2016">
        <v>7</v>
      </c>
      <c r="V2016">
        <v>370</v>
      </c>
      <c r="X2016" t="s">
        <v>32</v>
      </c>
    </row>
    <row r="2017" spans="1:24">
      <c r="A2017" t="str">
        <f>Hyperlink("https://www.diodes.com/part/view/ZXMP4A16G","ZXMP4A16G")</f>
        <v>ZXMP4A16G</v>
      </c>
      <c r="B2017" t="str">
        <f>Hyperlink("https://www.diodes.com/assets/Datasheets/ZXMP4A16G.pdf","ZXMP4A16G Datasheet")</f>
        <v>ZXMP4A16G Datasheet</v>
      </c>
      <c r="C2017" t="s">
        <v>51</v>
      </c>
      <c r="D2017" t="s">
        <v>25</v>
      </c>
      <c r="E2017" t="s">
        <v>26</v>
      </c>
      <c r="F2017" t="s">
        <v>52</v>
      </c>
      <c r="G2017" t="s">
        <v>28</v>
      </c>
      <c r="H2017">
        <v>40</v>
      </c>
      <c r="I2017">
        <v>20</v>
      </c>
      <c r="J2017">
        <v>6.4</v>
      </c>
      <c r="L2017">
        <v>2</v>
      </c>
      <c r="N2017">
        <v>60</v>
      </c>
      <c r="O2017">
        <v>100</v>
      </c>
      <c r="S2017">
        <v>1</v>
      </c>
      <c r="T2017" t="s">
        <v>1213</v>
      </c>
      <c r="U2017">
        <v>26.1</v>
      </c>
      <c r="V2017">
        <v>1007</v>
      </c>
      <c r="X2017" t="s">
        <v>1049</v>
      </c>
    </row>
    <row r="2018" spans="1:24">
      <c r="A2018" t="str">
        <f>Hyperlink("https://www.diodes.com/part/view/ZXMP4A16GQ","ZXMP4A16GQ")</f>
        <v>ZXMP4A16GQ</v>
      </c>
      <c r="B2018" t="str">
        <f>Hyperlink("https://www.diodes.com/assets/Datasheets/ZXMP4A16GQ.pdf","ZXMP4A16GQ Datasheet")</f>
        <v>ZXMP4A16GQ Datasheet</v>
      </c>
      <c r="C2018" t="s">
        <v>851</v>
      </c>
      <c r="D2018" t="s">
        <v>25</v>
      </c>
      <c r="E2018" t="s">
        <v>33</v>
      </c>
      <c r="F2018" t="s">
        <v>52</v>
      </c>
      <c r="G2018" t="s">
        <v>28</v>
      </c>
      <c r="H2018">
        <v>40</v>
      </c>
      <c r="I2018">
        <v>20</v>
      </c>
      <c r="J2018">
        <v>6.4</v>
      </c>
      <c r="L2018">
        <v>2</v>
      </c>
      <c r="N2018">
        <v>60</v>
      </c>
      <c r="O2018">
        <v>100</v>
      </c>
      <c r="S2018">
        <v>1</v>
      </c>
      <c r="T2018" t="s">
        <v>1213</v>
      </c>
      <c r="U2018">
        <v>26.1</v>
      </c>
      <c r="V2018">
        <v>1007</v>
      </c>
      <c r="X2018" t="s">
        <v>1049</v>
      </c>
    </row>
    <row r="2019" spans="1:24">
      <c r="A2019" t="str">
        <f>Hyperlink("https://www.diodes.com/part/view/ZXMP4A16K","ZXMP4A16K")</f>
        <v>ZXMP4A16K</v>
      </c>
      <c r="B2019" t="str">
        <f>Hyperlink("https://www.diodes.com/assets/Datasheets/ZXMP4A16K.pdf","ZXMP4A16K Datasheet")</f>
        <v>ZXMP4A16K Datasheet</v>
      </c>
      <c r="C2019" t="s">
        <v>51</v>
      </c>
      <c r="D2019" t="s">
        <v>25</v>
      </c>
      <c r="E2019" t="s">
        <v>26</v>
      </c>
      <c r="F2019" t="s">
        <v>52</v>
      </c>
      <c r="G2019" t="s">
        <v>28</v>
      </c>
      <c r="H2019">
        <v>40</v>
      </c>
      <c r="I2019">
        <v>20</v>
      </c>
      <c r="J2019">
        <v>9.9</v>
      </c>
      <c r="L2019">
        <v>4.2</v>
      </c>
      <c r="N2019">
        <v>60</v>
      </c>
      <c r="O2019">
        <v>100</v>
      </c>
      <c r="S2019">
        <v>1</v>
      </c>
      <c r="T2019" t="s">
        <v>1214</v>
      </c>
      <c r="U2019">
        <v>29.6</v>
      </c>
      <c r="V2019">
        <v>965</v>
      </c>
      <c r="X2019" t="s">
        <v>507</v>
      </c>
    </row>
    <row r="2020" spans="1:24">
      <c r="A2020" t="str">
        <f>Hyperlink("https://www.diodes.com/part/view/ZXMP4A57E6","ZXMP4A57E6")</f>
        <v>ZXMP4A57E6</v>
      </c>
      <c r="B2020" t="str">
        <f>Hyperlink("https://www.diodes.com/assets/Datasheets/ZXMP4A57E6.pdf","ZXMP4A57E6 Datasheet")</f>
        <v>ZXMP4A57E6 Datasheet</v>
      </c>
      <c r="C2020" t="s">
        <v>51</v>
      </c>
      <c r="D2020" t="s">
        <v>25</v>
      </c>
      <c r="E2020" t="s">
        <v>26</v>
      </c>
      <c r="F2020" t="s">
        <v>52</v>
      </c>
      <c r="G2020" t="s">
        <v>28</v>
      </c>
      <c r="H2020">
        <v>40</v>
      </c>
      <c r="I2020">
        <v>20</v>
      </c>
      <c r="J2020">
        <v>3.7</v>
      </c>
      <c r="L2020">
        <v>1.1</v>
      </c>
      <c r="N2020">
        <v>80</v>
      </c>
      <c r="O2020">
        <v>150</v>
      </c>
      <c r="S2020">
        <v>3</v>
      </c>
      <c r="T2020">
        <v>7</v>
      </c>
      <c r="U2020">
        <v>15.8</v>
      </c>
      <c r="V2020">
        <v>833</v>
      </c>
      <c r="X2020" t="s">
        <v>261</v>
      </c>
    </row>
    <row r="2021" spans="1:24">
      <c r="A2021" t="str">
        <f>Hyperlink("https://www.diodes.com/part/view/ZXMP6A13F","ZXMP6A13F")</f>
        <v>ZXMP6A13F</v>
      </c>
      <c r="B2021" t="str">
        <f>Hyperlink("https://www.diodes.com/assets/Datasheets/ZXMP6A13F.pdf","ZXMP6A13F Datasheet")</f>
        <v>ZXMP6A13F Datasheet</v>
      </c>
      <c r="C2021" t="s">
        <v>51</v>
      </c>
      <c r="D2021" t="s">
        <v>25</v>
      </c>
      <c r="E2021" t="s">
        <v>26</v>
      </c>
      <c r="F2021" t="s">
        <v>52</v>
      </c>
      <c r="G2021" t="s">
        <v>28</v>
      </c>
      <c r="H2021">
        <v>60</v>
      </c>
      <c r="I2021">
        <v>20</v>
      </c>
      <c r="J2021">
        <v>1.1</v>
      </c>
      <c r="L2021">
        <v>0.625</v>
      </c>
      <c r="N2021">
        <v>400</v>
      </c>
      <c r="O2021">
        <v>600</v>
      </c>
      <c r="S2021">
        <v>3</v>
      </c>
      <c r="T2021">
        <v>2.9</v>
      </c>
      <c r="U2021">
        <v>5.9</v>
      </c>
      <c r="V2021">
        <v>219</v>
      </c>
      <c r="X2021" t="s">
        <v>32</v>
      </c>
    </row>
    <row r="2022" spans="1:24">
      <c r="A2022" t="str">
        <f>Hyperlink("https://www.diodes.com/part/view/ZXMP6A13FQ","ZXMP6A13FQ")</f>
        <v>ZXMP6A13FQ</v>
      </c>
      <c r="B2022" t="str">
        <f>Hyperlink("https://www.diodes.com/assets/Datasheets/ZXMP6A13FQ.pdf","ZXMP6A13FQ Datasheet")</f>
        <v>ZXMP6A13FQ Datasheet</v>
      </c>
      <c r="C2022" t="s">
        <v>870</v>
      </c>
      <c r="D2022" t="s">
        <v>25</v>
      </c>
      <c r="E2022" t="s">
        <v>33</v>
      </c>
      <c r="F2022" t="s">
        <v>52</v>
      </c>
      <c r="G2022" t="s">
        <v>28</v>
      </c>
      <c r="H2022">
        <v>60</v>
      </c>
      <c r="I2022">
        <v>20</v>
      </c>
      <c r="J2022">
        <v>1.1</v>
      </c>
      <c r="L2022">
        <v>0.625</v>
      </c>
      <c r="N2022">
        <v>400</v>
      </c>
      <c r="O2022">
        <v>600</v>
      </c>
      <c r="S2022">
        <v>3</v>
      </c>
      <c r="T2022">
        <v>2.9</v>
      </c>
      <c r="U2022">
        <v>5.9</v>
      </c>
      <c r="X2022" t="s">
        <v>32</v>
      </c>
    </row>
    <row r="2023" spans="1:24">
      <c r="A2023" t="str">
        <f>Hyperlink("https://www.diodes.com/part/view/ZXMP6A13G","ZXMP6A13G")</f>
        <v>ZXMP6A13G</v>
      </c>
      <c r="B2023" t="str">
        <f>Hyperlink("https://www.diodes.com/assets/Datasheets/ZXMP6A13G.pdf","ZXMP6A13G Datasheet")</f>
        <v>ZXMP6A13G Datasheet</v>
      </c>
      <c r="C2023" t="s">
        <v>51</v>
      </c>
      <c r="D2023" t="s">
        <v>25</v>
      </c>
      <c r="E2023" t="s">
        <v>26</v>
      </c>
      <c r="F2023" t="s">
        <v>52</v>
      </c>
      <c r="G2023" t="s">
        <v>28</v>
      </c>
      <c r="H2023">
        <v>60</v>
      </c>
      <c r="I2023">
        <v>20</v>
      </c>
      <c r="J2023">
        <v>2.3</v>
      </c>
      <c r="L2023">
        <v>2</v>
      </c>
      <c r="N2023">
        <v>390</v>
      </c>
      <c r="O2023">
        <v>595</v>
      </c>
      <c r="S2023">
        <v>3</v>
      </c>
      <c r="T2023">
        <v>2.9</v>
      </c>
      <c r="U2023">
        <v>5.9</v>
      </c>
      <c r="V2023">
        <v>219</v>
      </c>
      <c r="X2023" t="s">
        <v>1049</v>
      </c>
    </row>
    <row r="2024" spans="1:24">
      <c r="A2024" t="str">
        <f>Hyperlink("https://www.diodes.com/part/view/ZXMP6A16DN8","ZXMP6A16DN8")</f>
        <v>ZXMP6A16DN8</v>
      </c>
      <c r="B2024" t="str">
        <f>Hyperlink("https://www.diodes.com/assets/Datasheets/ZXMP6A16DN8.pdf","ZXMP6A16DN8 Datasheet")</f>
        <v>ZXMP6A16DN8 Datasheet</v>
      </c>
      <c r="C2024" t="s">
        <v>77</v>
      </c>
      <c r="D2024" t="s">
        <v>25</v>
      </c>
      <c r="E2024" t="s">
        <v>26</v>
      </c>
      <c r="F2024" t="s">
        <v>78</v>
      </c>
      <c r="G2024" t="s">
        <v>28</v>
      </c>
      <c r="H2024">
        <v>60</v>
      </c>
      <c r="I2024">
        <v>20</v>
      </c>
      <c r="J2024">
        <v>3.9</v>
      </c>
      <c r="L2024">
        <v>1.81</v>
      </c>
      <c r="N2024">
        <v>85</v>
      </c>
      <c r="O2024">
        <v>125</v>
      </c>
      <c r="S2024">
        <v>1</v>
      </c>
      <c r="T2024" t="s">
        <v>1215</v>
      </c>
      <c r="U2024">
        <v>24.2</v>
      </c>
      <c r="V2024">
        <v>1021</v>
      </c>
      <c r="W2024">
        <v>30</v>
      </c>
      <c r="X2024" t="s">
        <v>155</v>
      </c>
    </row>
    <row r="2025" spans="1:24">
      <c r="A2025" t="str">
        <f>Hyperlink("https://www.diodes.com/part/view/ZXMP6A16DN8Q","ZXMP6A16DN8Q")</f>
        <v>ZXMP6A16DN8Q</v>
      </c>
      <c r="B2025" t="str">
        <f>Hyperlink("https://www.diodes.com/assets/Datasheets/ZXMP6A16DN8Q.pdf","ZXMP6A16DN8Q Datasheet")</f>
        <v>ZXMP6A16DN8Q Datasheet</v>
      </c>
      <c r="C2025" t="s">
        <v>1216</v>
      </c>
      <c r="D2025" t="s">
        <v>25</v>
      </c>
      <c r="E2025" t="s">
        <v>33</v>
      </c>
      <c r="F2025" t="s">
        <v>78</v>
      </c>
      <c r="G2025" t="s">
        <v>28</v>
      </c>
      <c r="H2025">
        <v>60</v>
      </c>
      <c r="I2025">
        <v>20</v>
      </c>
      <c r="J2025">
        <v>3.9</v>
      </c>
      <c r="L2025">
        <v>1.81</v>
      </c>
      <c r="N2025">
        <v>85</v>
      </c>
      <c r="O2025">
        <v>125</v>
      </c>
      <c r="S2025">
        <v>1</v>
      </c>
      <c r="T2025" t="s">
        <v>1215</v>
      </c>
      <c r="U2025">
        <v>24.2</v>
      </c>
      <c r="W2025">
        <v>30</v>
      </c>
      <c r="X2025" t="s">
        <v>155</v>
      </c>
    </row>
    <row r="2026" spans="1:24">
      <c r="A2026" t="str">
        <f>Hyperlink("https://www.diodes.com/part/view/ZXMP6A16K","ZXMP6A16K")</f>
        <v>ZXMP6A16K</v>
      </c>
      <c r="B2026" t="str">
        <f>Hyperlink("https://www.diodes.com/assets/Datasheets/ZXMP6A16K.pdf","ZXMP6A16K Datasheet")</f>
        <v>ZXMP6A16K Datasheet</v>
      </c>
      <c r="C2026" t="s">
        <v>51</v>
      </c>
      <c r="D2026" t="s">
        <v>25</v>
      </c>
      <c r="E2026" t="s">
        <v>26</v>
      </c>
      <c r="F2026" t="s">
        <v>52</v>
      </c>
      <c r="G2026" t="s">
        <v>28</v>
      </c>
      <c r="H2026">
        <v>60</v>
      </c>
      <c r="I2026">
        <v>20</v>
      </c>
      <c r="J2026">
        <v>8.2</v>
      </c>
      <c r="L2026">
        <v>2.11</v>
      </c>
      <c r="N2026">
        <v>85</v>
      </c>
      <c r="O2026">
        <v>125</v>
      </c>
      <c r="S2026">
        <v>1</v>
      </c>
      <c r="T2026" t="s">
        <v>1215</v>
      </c>
      <c r="U2026">
        <v>24.2</v>
      </c>
      <c r="V2026">
        <v>1021</v>
      </c>
      <c r="X2026" t="s">
        <v>507</v>
      </c>
    </row>
    <row r="2027" spans="1:24">
      <c r="A2027" t="str">
        <f>Hyperlink("https://www.diodes.com/part/view/ZXMP6A17DN8","ZXMP6A17DN8")</f>
        <v>ZXMP6A17DN8</v>
      </c>
      <c r="B2027" t="str">
        <f>Hyperlink("https://www.diodes.com/assets/Datasheets/ZXMP6A17DN8.pdf","ZXMP6A17DN8 Datasheet")</f>
        <v>ZXMP6A17DN8 Datasheet</v>
      </c>
      <c r="C2027" t="s">
        <v>77</v>
      </c>
      <c r="D2027" t="s">
        <v>25</v>
      </c>
      <c r="E2027" t="s">
        <v>26</v>
      </c>
      <c r="F2027" t="s">
        <v>78</v>
      </c>
      <c r="G2027" t="s">
        <v>28</v>
      </c>
      <c r="H2027">
        <v>60</v>
      </c>
      <c r="I2027">
        <v>20</v>
      </c>
      <c r="J2027">
        <v>3.4</v>
      </c>
      <c r="L2027">
        <v>1.81</v>
      </c>
      <c r="N2027">
        <v>125</v>
      </c>
      <c r="O2027">
        <v>190</v>
      </c>
      <c r="S2027">
        <v>1</v>
      </c>
      <c r="T2027">
        <v>9</v>
      </c>
      <c r="U2027">
        <v>17.7</v>
      </c>
      <c r="V2027">
        <v>637</v>
      </c>
      <c r="X2027" t="s">
        <v>155</v>
      </c>
    </row>
    <row r="2028" spans="1:24">
      <c r="A2028" t="str">
        <f>Hyperlink("https://www.diodes.com/part/view/ZXMP6A17E6","ZXMP6A17E6")</f>
        <v>ZXMP6A17E6</v>
      </c>
      <c r="B2028" t="str">
        <f>Hyperlink("https://www.diodes.com/assets/Datasheets/ZXMP6A17E6.pdf","ZXMP6A17E6 Datasheet")</f>
        <v>ZXMP6A17E6 Datasheet</v>
      </c>
      <c r="C2028" t="s">
        <v>51</v>
      </c>
      <c r="D2028" t="s">
        <v>25</v>
      </c>
      <c r="E2028" t="s">
        <v>26</v>
      </c>
      <c r="F2028" t="s">
        <v>52</v>
      </c>
      <c r="G2028" t="s">
        <v>28</v>
      </c>
      <c r="H2028">
        <v>60</v>
      </c>
      <c r="I2028">
        <v>20</v>
      </c>
      <c r="J2028">
        <v>3</v>
      </c>
      <c r="L2028">
        <v>1.1</v>
      </c>
      <c r="N2028">
        <v>125</v>
      </c>
      <c r="O2028">
        <v>190</v>
      </c>
      <c r="S2028">
        <v>3</v>
      </c>
      <c r="T2028" t="s">
        <v>1217</v>
      </c>
      <c r="U2028">
        <v>17.7</v>
      </c>
      <c r="V2028">
        <v>637</v>
      </c>
      <c r="X2028" t="s">
        <v>261</v>
      </c>
    </row>
    <row r="2029" spans="1:24">
      <c r="A2029" t="str">
        <f>Hyperlink("https://www.diodes.com/part/view/ZXMP6A17E6Q","ZXMP6A17E6Q")</f>
        <v>ZXMP6A17E6Q</v>
      </c>
      <c r="B2029" t="str">
        <f>Hyperlink("https://www.diodes.com/assets/Datasheets/ZXMP6A17E6Q.pdf","ZXMP6A17E6Q Datasheet")</f>
        <v>ZXMP6A17E6Q Datasheet</v>
      </c>
      <c r="C2029" t="s">
        <v>870</v>
      </c>
      <c r="D2029" t="s">
        <v>25</v>
      </c>
      <c r="E2029" t="s">
        <v>33</v>
      </c>
      <c r="F2029" t="s">
        <v>52</v>
      </c>
      <c r="G2029" t="s">
        <v>28</v>
      </c>
      <c r="H2029">
        <v>60</v>
      </c>
      <c r="I2029">
        <v>20</v>
      </c>
      <c r="J2029">
        <v>3</v>
      </c>
      <c r="L2029">
        <v>1.1</v>
      </c>
      <c r="N2029">
        <v>125</v>
      </c>
      <c r="O2029">
        <v>190</v>
      </c>
      <c r="S2029">
        <v>3</v>
      </c>
      <c r="T2029" t="s">
        <v>1217</v>
      </c>
      <c r="U2029">
        <v>17.7</v>
      </c>
      <c r="X2029" t="s">
        <v>261</v>
      </c>
    </row>
    <row r="2030" spans="1:24">
      <c r="A2030" t="str">
        <f>Hyperlink("https://www.diodes.com/part/view/ZXMP6A17G","ZXMP6A17G")</f>
        <v>ZXMP6A17G</v>
      </c>
      <c r="B2030" t="str">
        <f>Hyperlink("https://www.diodes.com/assets/Datasheets/ZXMP6A17G.pdf","ZXMP6A17G Datasheet")</f>
        <v>ZXMP6A17G Datasheet</v>
      </c>
      <c r="C2030" t="s">
        <v>51</v>
      </c>
      <c r="D2030" t="s">
        <v>25</v>
      </c>
      <c r="E2030" t="s">
        <v>26</v>
      </c>
      <c r="F2030" t="s">
        <v>52</v>
      </c>
      <c r="G2030" t="s">
        <v>28</v>
      </c>
      <c r="H2030">
        <v>60</v>
      </c>
      <c r="I2030">
        <v>20</v>
      </c>
      <c r="J2030">
        <v>4.3</v>
      </c>
      <c r="L2030">
        <v>2</v>
      </c>
      <c r="N2030">
        <v>125</v>
      </c>
      <c r="O2030">
        <v>190</v>
      </c>
      <c r="S2030">
        <v>1</v>
      </c>
      <c r="T2030">
        <v>9</v>
      </c>
      <c r="U2030">
        <v>17.7</v>
      </c>
      <c r="V2030">
        <v>637</v>
      </c>
      <c r="X2030" t="s">
        <v>1049</v>
      </c>
    </row>
    <row r="2031" spans="1:24">
      <c r="A2031" t="str">
        <f>Hyperlink("https://www.diodes.com/part/view/ZXMP6A17GQ","ZXMP6A17GQ")</f>
        <v>ZXMP6A17GQ</v>
      </c>
      <c r="B2031" t="str">
        <f>Hyperlink("https://www.diodes.com/assets/Datasheets/ZXMP6A17GQ.pdf","ZXMP6A17GQ Datasheet")</f>
        <v>ZXMP6A17GQ Datasheet</v>
      </c>
      <c r="C2031" t="s">
        <v>870</v>
      </c>
      <c r="D2031" t="s">
        <v>25</v>
      </c>
      <c r="E2031" t="s">
        <v>33</v>
      </c>
      <c r="F2031" t="s">
        <v>52</v>
      </c>
      <c r="G2031" t="s">
        <v>28</v>
      </c>
      <c r="H2031">
        <v>60</v>
      </c>
      <c r="I2031">
        <v>20</v>
      </c>
      <c r="J2031">
        <v>4.3</v>
      </c>
      <c r="L2031">
        <v>2</v>
      </c>
      <c r="N2031">
        <v>125</v>
      </c>
      <c r="O2031">
        <v>190</v>
      </c>
      <c r="S2031">
        <v>1</v>
      </c>
      <c r="T2031">
        <v>9</v>
      </c>
      <c r="U2031">
        <v>17.7</v>
      </c>
      <c r="X2031" t="s">
        <v>586</v>
      </c>
    </row>
    <row r="2032" spans="1:24">
      <c r="A2032" t="str">
        <f>Hyperlink("https://www.diodes.com/part/view/ZXMP6A17K","ZXMP6A17K")</f>
        <v>ZXMP6A17K</v>
      </c>
      <c r="B2032" t="str">
        <f>Hyperlink("https://www.diodes.com/assets/Datasheets/ZXMP6A17K.pdf","ZXMP6A17K Datasheet")</f>
        <v>ZXMP6A17K Datasheet</v>
      </c>
      <c r="C2032" t="s">
        <v>51</v>
      </c>
      <c r="D2032" t="s">
        <v>25</v>
      </c>
      <c r="E2032" t="s">
        <v>26</v>
      </c>
      <c r="F2032" t="s">
        <v>52</v>
      </c>
      <c r="G2032" t="s">
        <v>28</v>
      </c>
      <c r="H2032">
        <v>60</v>
      </c>
      <c r="I2032">
        <v>20</v>
      </c>
      <c r="J2032">
        <v>6.6</v>
      </c>
      <c r="L2032">
        <v>4.17</v>
      </c>
      <c r="N2032">
        <v>125</v>
      </c>
      <c r="O2032">
        <v>190</v>
      </c>
      <c r="S2032">
        <v>1</v>
      </c>
      <c r="T2032">
        <v>9</v>
      </c>
      <c r="U2032">
        <v>17.7</v>
      </c>
      <c r="V2032">
        <v>637</v>
      </c>
      <c r="X2032" t="s">
        <v>507</v>
      </c>
    </row>
    <row r="2033" spans="1:24">
      <c r="A2033" t="str">
        <f>Hyperlink("https://www.diodes.com/part/view/ZXMP6A17N8","ZXMP6A17N8")</f>
        <v>ZXMP6A17N8</v>
      </c>
      <c r="B2033" t="str">
        <f>Hyperlink("https://www.diodes.com/assets/Datasheets/ZXMP6A17N8.pdf","ZXMP6A17N8 Datasheet")</f>
        <v>ZXMP6A17N8 Datasheet</v>
      </c>
      <c r="C2033" t="s">
        <v>51</v>
      </c>
      <c r="D2033" t="s">
        <v>25</v>
      </c>
      <c r="E2033" t="s">
        <v>26</v>
      </c>
      <c r="F2033" t="s">
        <v>52</v>
      </c>
      <c r="G2033" t="s">
        <v>28</v>
      </c>
      <c r="H2033">
        <v>60</v>
      </c>
      <c r="I2033">
        <v>20</v>
      </c>
      <c r="J2033">
        <v>3.4</v>
      </c>
      <c r="L2033">
        <v>1.56</v>
      </c>
      <c r="N2033">
        <v>125</v>
      </c>
      <c r="O2033">
        <v>190</v>
      </c>
      <c r="S2033">
        <v>1</v>
      </c>
      <c r="T2033">
        <v>9</v>
      </c>
      <c r="U2033">
        <v>17.7</v>
      </c>
      <c r="V2033">
        <v>637</v>
      </c>
      <c r="X2033" t="s">
        <v>155</v>
      </c>
    </row>
    <row r="2034" spans="1:24">
      <c r="A2034" t="str">
        <f>Hyperlink("https://www.diodes.com/part/view/ZXMP6A18DN8","ZXMP6A18DN8")</f>
        <v>ZXMP6A18DN8</v>
      </c>
      <c r="B2034" t="str">
        <f>Hyperlink("https://www.diodes.com/assets/Datasheets/ZXMP6A18DN8.pdf","ZXMP6A18DN8 Datasheet")</f>
        <v>ZXMP6A18DN8 Datasheet</v>
      </c>
      <c r="C2034" t="s">
        <v>77</v>
      </c>
      <c r="D2034" t="s">
        <v>25</v>
      </c>
      <c r="E2034" t="s">
        <v>26</v>
      </c>
      <c r="F2034" t="s">
        <v>78</v>
      </c>
      <c r="G2034" t="s">
        <v>28</v>
      </c>
      <c r="H2034">
        <v>60</v>
      </c>
      <c r="I2034">
        <v>20</v>
      </c>
      <c r="J2034">
        <v>4.8</v>
      </c>
      <c r="L2034">
        <v>1.8</v>
      </c>
      <c r="N2034">
        <v>55</v>
      </c>
      <c r="O2034">
        <v>80</v>
      </c>
      <c r="S2034">
        <v>1</v>
      </c>
      <c r="T2034" t="s">
        <v>1218</v>
      </c>
      <c r="U2034">
        <v>44</v>
      </c>
      <c r="V2034">
        <v>1580</v>
      </c>
      <c r="X2034" t="s">
        <v>155</v>
      </c>
    </row>
    <row r="2035" spans="1:24">
      <c r="A2035" t="str">
        <f>Hyperlink("https://www.diodes.com/part/view/ZXMP6A18K","ZXMP6A18K")</f>
        <v>ZXMP6A18K</v>
      </c>
      <c r="B2035" t="str">
        <f>Hyperlink("https://www.diodes.com/assets/Datasheets/ZXMP6A18K.pdf","ZXMP6A18K Datasheet")</f>
        <v>ZXMP6A18K Datasheet</v>
      </c>
      <c r="C2035" t="s">
        <v>51</v>
      </c>
      <c r="D2035" t="s">
        <v>25</v>
      </c>
      <c r="E2035" t="s">
        <v>26</v>
      </c>
      <c r="F2035" t="s">
        <v>52</v>
      </c>
      <c r="G2035" t="s">
        <v>28</v>
      </c>
      <c r="H2035">
        <v>60</v>
      </c>
      <c r="I2035">
        <v>20</v>
      </c>
      <c r="J2035">
        <v>6.8</v>
      </c>
      <c r="L2035">
        <v>4.3</v>
      </c>
      <c r="N2035">
        <v>55</v>
      </c>
      <c r="O2035">
        <v>80</v>
      </c>
      <c r="S2035">
        <v>1</v>
      </c>
      <c r="T2035" t="s">
        <v>1218</v>
      </c>
      <c r="U2035">
        <v>44</v>
      </c>
      <c r="V2035">
        <v>1580</v>
      </c>
      <c r="X2035" t="s">
        <v>507</v>
      </c>
    </row>
    <row r="2036" spans="1:24">
      <c r="A2036" t="str">
        <f>Hyperlink("https://www.diodes.com/part/view/ZXMP7A17G","ZXMP7A17G")</f>
        <v>ZXMP7A17G</v>
      </c>
      <c r="B2036" t="str">
        <f>Hyperlink("https://www.diodes.com/assets/Datasheets/ZXMP7A17G.pdf","ZXMP7A17G Datasheet")</f>
        <v>ZXMP7A17G Datasheet</v>
      </c>
      <c r="C2036" t="s">
        <v>51</v>
      </c>
      <c r="D2036" t="s">
        <v>25</v>
      </c>
      <c r="E2036" t="s">
        <v>26</v>
      </c>
      <c r="F2036" t="s">
        <v>52</v>
      </c>
      <c r="G2036" t="s">
        <v>28</v>
      </c>
      <c r="H2036">
        <v>70</v>
      </c>
      <c r="I2036">
        <v>20</v>
      </c>
      <c r="J2036">
        <v>3.7</v>
      </c>
      <c r="L2036">
        <v>2</v>
      </c>
      <c r="N2036">
        <v>160</v>
      </c>
      <c r="O2036">
        <v>250</v>
      </c>
      <c r="S2036">
        <v>1</v>
      </c>
      <c r="T2036" t="s">
        <v>1175</v>
      </c>
      <c r="U2036">
        <v>18</v>
      </c>
      <c r="V2036">
        <v>635</v>
      </c>
      <c r="X2036" t="s">
        <v>586</v>
      </c>
    </row>
    <row r="2037" spans="1:24">
      <c r="A2037" t="str">
        <f>Hyperlink("https://www.diodes.com/part/view/ZXMP7A17GQ","ZXMP7A17GQ")</f>
        <v>ZXMP7A17GQ</v>
      </c>
      <c r="B2037" t="str">
        <f>Hyperlink("https://www.diodes.com/assets/Datasheets/ZXMP7A17GQ.pdf","ZXMP7A17GQ Datasheet")</f>
        <v>ZXMP7A17GQ Datasheet</v>
      </c>
      <c r="C2037" t="s">
        <v>1219</v>
      </c>
      <c r="D2037" t="s">
        <v>25</v>
      </c>
      <c r="E2037" t="s">
        <v>33</v>
      </c>
      <c r="F2037" t="s">
        <v>52</v>
      </c>
      <c r="G2037" t="s">
        <v>28</v>
      </c>
      <c r="H2037">
        <v>70</v>
      </c>
      <c r="I2037">
        <v>20</v>
      </c>
      <c r="J2037">
        <v>3.7</v>
      </c>
      <c r="L2037">
        <v>2</v>
      </c>
      <c r="N2037">
        <v>160</v>
      </c>
      <c r="O2037">
        <v>250</v>
      </c>
      <c r="S2037">
        <v>1</v>
      </c>
      <c r="T2037" t="s">
        <v>1175</v>
      </c>
      <c r="U2037">
        <v>18</v>
      </c>
      <c r="X2037" t="s">
        <v>586</v>
      </c>
    </row>
    <row r="2038" spans="1:24">
      <c r="A2038" t="str">
        <f>Hyperlink("https://www.diodes.com/part/view/ZXMP7A17K","ZXMP7A17K")</f>
        <v>ZXMP7A17K</v>
      </c>
      <c r="B2038" t="str">
        <f>Hyperlink("https://www.diodes.com/assets/Datasheets/ZXMP7A17K.pdf","ZXMP7A17K Datasheet")</f>
        <v>ZXMP7A17K Datasheet</v>
      </c>
      <c r="C2038" t="s">
        <v>51</v>
      </c>
      <c r="D2038" t="s">
        <v>25</v>
      </c>
      <c r="E2038" t="s">
        <v>26</v>
      </c>
      <c r="F2038" t="s">
        <v>52</v>
      </c>
      <c r="G2038" t="s">
        <v>28</v>
      </c>
      <c r="H2038">
        <v>70</v>
      </c>
      <c r="I2038">
        <v>20</v>
      </c>
      <c r="J2038">
        <v>5.7</v>
      </c>
      <c r="L2038">
        <v>4.17</v>
      </c>
      <c r="N2038">
        <v>160</v>
      </c>
      <c r="O2038">
        <v>250</v>
      </c>
      <c r="S2038">
        <v>1</v>
      </c>
      <c r="T2038" t="s">
        <v>1175</v>
      </c>
      <c r="U2038">
        <v>18</v>
      </c>
      <c r="V2038">
        <v>635</v>
      </c>
      <c r="X2038" t="s">
        <v>507</v>
      </c>
    </row>
    <row r="2039" spans="1:24">
      <c r="A2039" t="str">
        <f>Hyperlink("https://www.diodes.com/part/view/ZXMP7A17KQ","ZXMP7A17KQ")</f>
        <v>ZXMP7A17KQ</v>
      </c>
      <c r="B2039" t="str">
        <f>Hyperlink("https://www.diodes.com/assets/Datasheets/ZXMP7A17KQ.pdf","ZXMP7A17KQ Datasheet")</f>
        <v>ZXMP7A17KQ Datasheet</v>
      </c>
      <c r="C2039" t="s">
        <v>1219</v>
      </c>
      <c r="D2039" t="s">
        <v>25</v>
      </c>
      <c r="E2039" t="s">
        <v>33</v>
      </c>
      <c r="F2039" t="s">
        <v>52</v>
      </c>
      <c r="G2039" t="s">
        <v>28</v>
      </c>
      <c r="H2039">
        <v>70</v>
      </c>
      <c r="I2039">
        <v>20</v>
      </c>
      <c r="J2039">
        <v>5.7</v>
      </c>
      <c r="L2039">
        <v>4.17</v>
      </c>
      <c r="N2039">
        <v>160</v>
      </c>
      <c r="O2039">
        <v>250</v>
      </c>
      <c r="S2039">
        <v>1</v>
      </c>
      <c r="T2039" t="s">
        <v>1175</v>
      </c>
      <c r="U2039">
        <v>18</v>
      </c>
      <c r="W2039">
        <v>40</v>
      </c>
      <c r="X2039" t="s">
        <v>507</v>
      </c>
    </row>
  </sheetData>
  <hyperlinks>
    <hyperlink ref="A2" r:id="rId_hyperlink_1" tooltip="2N7002" display="2N7002"/>
    <hyperlink ref="B2" r:id="rId_hyperlink_2" tooltip="2N7002 Datasheet" display="2N7002 Datasheet"/>
    <hyperlink ref="A3" r:id="rId_hyperlink_3" tooltip="2N7002A" display="2N7002A"/>
    <hyperlink ref="B3" r:id="rId_hyperlink_4" tooltip="2N7002A Datasheet" display="2N7002A Datasheet"/>
    <hyperlink ref="A4" r:id="rId_hyperlink_5" tooltip="2N7002AQ" display="2N7002AQ"/>
    <hyperlink ref="B4" r:id="rId_hyperlink_6" tooltip="2N7002AQ Datasheet" display="2N7002AQ Datasheet"/>
    <hyperlink ref="A5" r:id="rId_hyperlink_7" tooltip="2N7002DW" display="2N7002DW"/>
    <hyperlink ref="B5" r:id="rId_hyperlink_8" tooltip="2N7002DW Datasheet" display="2N7002DW Datasheet"/>
    <hyperlink ref="A6" r:id="rId_hyperlink_9" tooltip="2N7002DWK" display="2N7002DWK"/>
    <hyperlink ref="B6" r:id="rId_hyperlink_10" tooltip="2N7002DWK Datasheet" display="2N7002DWK Datasheet"/>
    <hyperlink ref="A7" r:id="rId_hyperlink_11" tooltip="2N7002DWQ" display="2N7002DWQ"/>
    <hyperlink ref="B7" r:id="rId_hyperlink_12" tooltip="2N7002DWQ Datasheet" display="2N7002DWQ Datasheet"/>
    <hyperlink ref="A8" r:id="rId_hyperlink_13" tooltip="2N7002DWS" display="2N7002DWS"/>
    <hyperlink ref="B8" r:id="rId_hyperlink_14" tooltip="2N7002DWS Datasheet" display="2N7002DWS Datasheet"/>
    <hyperlink ref="A9" r:id="rId_hyperlink_15" tooltip="2N7002E" display="2N7002E"/>
    <hyperlink ref="B9" r:id="rId_hyperlink_16" tooltip="2N7002E Datasheet" display="2N7002E Datasheet"/>
    <hyperlink ref="A10" r:id="rId_hyperlink_17" tooltip="2N7002EQ" display="2N7002EQ"/>
    <hyperlink ref="B10" r:id="rId_hyperlink_18" tooltip="2N7002EQ Datasheet" display="2N7002EQ Datasheet"/>
    <hyperlink ref="A11" r:id="rId_hyperlink_19" tooltip="2N7002H" display="2N7002H"/>
    <hyperlink ref="B11" r:id="rId_hyperlink_20" tooltip="2N7002H Datasheet" display="2N7002H Datasheet"/>
    <hyperlink ref="A12" r:id="rId_hyperlink_21" tooltip="2N7002K" display="2N7002K"/>
    <hyperlink ref="B12" r:id="rId_hyperlink_22" tooltip="2N7002K Datasheet" display="2N7002K Datasheet"/>
    <hyperlink ref="A13" r:id="rId_hyperlink_23" tooltip="2N7002KQ" display="2N7002KQ"/>
    <hyperlink ref="B13" r:id="rId_hyperlink_24" tooltip="2N7002KQ Datasheet" display="2N7002KQ Datasheet"/>
    <hyperlink ref="A14" r:id="rId_hyperlink_25" tooltip="2N7002Q" display="2N7002Q"/>
    <hyperlink ref="B14" r:id="rId_hyperlink_26" tooltip="2N7002Q Datasheet" display="2N7002Q Datasheet"/>
    <hyperlink ref="A15" r:id="rId_hyperlink_27" tooltip="2N7002T" display="2N7002T"/>
    <hyperlink ref="B15" r:id="rId_hyperlink_28" tooltip="2N7002T Datasheet" display="2N7002T Datasheet"/>
    <hyperlink ref="A16" r:id="rId_hyperlink_29" tooltip="2N7002TQ" display="2N7002TQ"/>
    <hyperlink ref="B16" r:id="rId_hyperlink_30" tooltip="2N7002TQ Datasheet" display="2N7002TQ Datasheet"/>
    <hyperlink ref="A17" r:id="rId_hyperlink_31" tooltip="2N7002VAC" display="2N7002VAC"/>
    <hyperlink ref="B17" r:id="rId_hyperlink_32" tooltip="2N7002VAC Datasheet" display="2N7002VAC Datasheet"/>
    <hyperlink ref="A18" r:id="rId_hyperlink_33" tooltip="2N7002VC" display="2N7002VC"/>
    <hyperlink ref="B18" r:id="rId_hyperlink_34" tooltip="2N7002VC Datasheet" display="2N7002VC Datasheet"/>
    <hyperlink ref="A19" r:id="rId_hyperlink_35" tooltip="2N7002W" display="2N7002W"/>
    <hyperlink ref="B19" r:id="rId_hyperlink_36" tooltip="2N7002W Datasheet" display="2N7002W Datasheet"/>
    <hyperlink ref="A20" r:id="rId_hyperlink_37" tooltip="BS107P" display="BS107P"/>
    <hyperlink ref="B20" r:id="rId_hyperlink_38" tooltip="BS107P Datasheet" display="BS107P Datasheet"/>
    <hyperlink ref="A21" r:id="rId_hyperlink_39" tooltip="BS170F" display="BS170F"/>
    <hyperlink ref="B21" r:id="rId_hyperlink_40" tooltip="BS170F Datasheet" display="BS170F Datasheet"/>
    <hyperlink ref="A22" r:id="rId_hyperlink_41" tooltip="BS170P" display="BS170P"/>
    <hyperlink ref="B22" r:id="rId_hyperlink_42" tooltip="BS170P Datasheet" display="BS170P Datasheet"/>
    <hyperlink ref="A23" r:id="rId_hyperlink_43" tooltip="BS250F" display="BS250F"/>
    <hyperlink ref="B23" r:id="rId_hyperlink_44" tooltip="BS250F Datasheet" display="BS250F Datasheet"/>
    <hyperlink ref="A24" r:id="rId_hyperlink_45" tooltip="BS250P" display="BS250P"/>
    <hyperlink ref="B24" r:id="rId_hyperlink_46" tooltip="BS250P Datasheet" display="BS250P Datasheet"/>
    <hyperlink ref="A25" r:id="rId_hyperlink_47" tooltip="BS870" display="BS870"/>
    <hyperlink ref="B25" r:id="rId_hyperlink_48" tooltip="BS870 Datasheet" display="BS870 Datasheet"/>
    <hyperlink ref="A26" r:id="rId_hyperlink_49" tooltip="BS870Q" display="BS870Q"/>
    <hyperlink ref="B26" r:id="rId_hyperlink_50" tooltip="BS870Q Datasheet" display="BS870Q Datasheet"/>
    <hyperlink ref="A27" r:id="rId_hyperlink_51" tooltip="BSN20" display="BSN20"/>
    <hyperlink ref="B27" r:id="rId_hyperlink_52" tooltip="BSN20 Datasheet" display="BSN20 Datasheet"/>
    <hyperlink ref="A28" r:id="rId_hyperlink_53" tooltip="BSS123" display="BSS123"/>
    <hyperlink ref="B28" r:id="rId_hyperlink_54" tooltip="BSS123 Datasheet" display="BSS123 Datasheet"/>
    <hyperlink ref="A29" r:id="rId_hyperlink_55" tooltip="BSS123(Z)" display="BSS123(Z)"/>
    <hyperlink ref="B29" r:id="rId_hyperlink_56" tooltip="BSS123(Z) Datasheet" display="BSS123(Z) Datasheet"/>
    <hyperlink ref="A30" r:id="rId_hyperlink_57" tooltip="BSS123K" display="BSS123K"/>
    <hyperlink ref="B30" r:id="rId_hyperlink_58" tooltip="BSS123K Datasheet" display="BSS123K Datasheet"/>
    <hyperlink ref="A31" r:id="rId_hyperlink_59" tooltip="BSS123Q" display="BSS123Q"/>
    <hyperlink ref="B31" r:id="rId_hyperlink_60" tooltip="BSS123Q Datasheet" display="BSS123Q Datasheet"/>
    <hyperlink ref="A32" r:id="rId_hyperlink_61" tooltip="BSS123W" display="BSS123W"/>
    <hyperlink ref="B32" r:id="rId_hyperlink_62" tooltip="BSS123W Datasheet" display="BSS123W Datasheet"/>
    <hyperlink ref="A33" r:id="rId_hyperlink_63" tooltip="BSS123WQ" display="BSS123WQ"/>
    <hyperlink ref="B33" r:id="rId_hyperlink_64" tooltip="BSS123WQ Datasheet" display="BSS123WQ Datasheet"/>
    <hyperlink ref="A34" r:id="rId_hyperlink_65" tooltip="BSS127S" display="BSS127S"/>
    <hyperlink ref="B34" r:id="rId_hyperlink_66" tooltip="BSS127S Datasheet" display="BSS127S Datasheet"/>
    <hyperlink ref="A35" r:id="rId_hyperlink_67" tooltip="BSS127SSN" display="BSS127SSN"/>
    <hyperlink ref="B35" r:id="rId_hyperlink_68" tooltip="BSS127SSN Datasheet" display="BSS127SSN Datasheet"/>
    <hyperlink ref="A36" r:id="rId_hyperlink_69" tooltip="BSS138" display="BSS138"/>
    <hyperlink ref="B36" r:id="rId_hyperlink_70" tooltip="BSS138 Datasheet" display="BSS138 Datasheet"/>
    <hyperlink ref="A37" r:id="rId_hyperlink_71" tooltip="BSS138DW" display="BSS138DW"/>
    <hyperlink ref="B37" r:id="rId_hyperlink_72" tooltip="BSS138DW Datasheet" display="BSS138DW Datasheet"/>
    <hyperlink ref="A38" r:id="rId_hyperlink_73" tooltip="BSS138DWK" display="BSS138DWK"/>
    <hyperlink ref="B38" r:id="rId_hyperlink_74" tooltip="BSS138DWK Datasheet" display="BSS138DWK Datasheet"/>
    <hyperlink ref="A39" r:id="rId_hyperlink_75" tooltip="BSS138DWQ" display="BSS138DWQ"/>
    <hyperlink ref="B39" r:id="rId_hyperlink_76" tooltip="BSS138DWQ Datasheet" display="BSS138DWQ Datasheet"/>
    <hyperlink ref="A40" r:id="rId_hyperlink_77" tooltip="BSS138K" display="BSS138K"/>
    <hyperlink ref="B40" r:id="rId_hyperlink_78" tooltip="BSS138K Datasheet" display="BSS138K Datasheet"/>
    <hyperlink ref="A41" r:id="rId_hyperlink_79" tooltip="BSS138Q" display="BSS138Q"/>
    <hyperlink ref="B41" r:id="rId_hyperlink_80" tooltip="BSS138Q Datasheet" display="BSS138Q Datasheet"/>
    <hyperlink ref="A42" r:id="rId_hyperlink_81" tooltip="BSS138W" display="BSS138W"/>
    <hyperlink ref="B42" r:id="rId_hyperlink_82" tooltip="BSS138W Datasheet" display="BSS138W Datasheet"/>
    <hyperlink ref="A43" r:id="rId_hyperlink_83" tooltip="BSS138WQ" display="BSS138WQ"/>
    <hyperlink ref="B43" r:id="rId_hyperlink_84" tooltip="BSS138WQ Datasheet" display="BSS138WQ Datasheet"/>
    <hyperlink ref="A44" r:id="rId_hyperlink_85" tooltip="BSS84" display="BSS84"/>
    <hyperlink ref="B44" r:id="rId_hyperlink_86" tooltip="BSS84 Datasheet" display="BSS84 Datasheet"/>
    <hyperlink ref="A45" r:id="rId_hyperlink_87" tooltip="BSS8402DW" display="BSS8402DW"/>
    <hyperlink ref="B45" r:id="rId_hyperlink_88" tooltip="BSS8402DW Datasheet" display="BSS8402DW Datasheet"/>
    <hyperlink ref="A46" r:id="rId_hyperlink_89" tooltip="BSS84DW" display="BSS84DW"/>
    <hyperlink ref="B46" r:id="rId_hyperlink_90" tooltip="BSS84DW Datasheet" display="BSS84DW Datasheet"/>
    <hyperlink ref="A47" r:id="rId_hyperlink_91" tooltip="BSS84DWQ" display="BSS84DWQ"/>
    <hyperlink ref="B47" r:id="rId_hyperlink_92" tooltip="BSS84DWQ Datasheet" display="BSS84DWQ Datasheet"/>
    <hyperlink ref="A48" r:id="rId_hyperlink_93" tooltip="BSS84Q" display="BSS84Q"/>
    <hyperlink ref="B48" r:id="rId_hyperlink_94" tooltip="BSS84Q Datasheet" display="BSS84Q Datasheet"/>
    <hyperlink ref="A49" r:id="rId_hyperlink_95" tooltip="BSS84W" display="BSS84W"/>
    <hyperlink ref="B49" r:id="rId_hyperlink_96" tooltip="BSS84W Datasheet" display="BSS84W Datasheet"/>
    <hyperlink ref="A50" r:id="rId_hyperlink_97" tooltip="BSS84WQ" display="BSS84WQ"/>
    <hyperlink ref="B50" r:id="rId_hyperlink_98" tooltip="BSS84WQ Datasheet" display="BSS84WQ Datasheet"/>
    <hyperlink ref="A51" r:id="rId_hyperlink_99" tooltip="DMC1015UPD" display="DMC1015UPD"/>
    <hyperlink ref="B51" r:id="rId_hyperlink_100" tooltip="DMC1015UPD Datasheet" display="DMC1015UPD Datasheet"/>
    <hyperlink ref="A52" r:id="rId_hyperlink_101" tooltip="DMC1016UPD" display="DMC1016UPD"/>
    <hyperlink ref="B52" r:id="rId_hyperlink_102" tooltip="DMC1016UPD Datasheet" display="DMC1016UPD Datasheet"/>
    <hyperlink ref="A53" r:id="rId_hyperlink_103" tooltip="DMC1018UPD" display="DMC1018UPD"/>
    <hyperlink ref="B53" r:id="rId_hyperlink_104" tooltip="DMC1018UPD Datasheet" display="DMC1018UPD Datasheet"/>
    <hyperlink ref="A54" r:id="rId_hyperlink_105" tooltip="DMC1018UPDWQ" display="DMC1018UPDWQ"/>
    <hyperlink ref="B54" r:id="rId_hyperlink_106" tooltip="DMC1018UPDWQ Datasheet" display="DMC1018UPDWQ Datasheet"/>
    <hyperlink ref="A55" r:id="rId_hyperlink_107" tooltip="DMC1028UFDB" display="DMC1028UFDB"/>
    <hyperlink ref="B55" r:id="rId_hyperlink_108" tooltip="DMC1028UFDB Datasheet" display="DMC1028UFDB Datasheet"/>
    <hyperlink ref="A56" r:id="rId_hyperlink_109" tooltip="DMC1028UVT" display="DMC1028UVT"/>
    <hyperlink ref="B56" r:id="rId_hyperlink_110" tooltip="DMC1028UVT Datasheet" display="DMC1028UVT Datasheet"/>
    <hyperlink ref="A57" r:id="rId_hyperlink_111" tooltip="DMC1029UFDB" display="DMC1029UFDB"/>
    <hyperlink ref="B57" r:id="rId_hyperlink_112" tooltip="DMC1029UFDB Datasheet" display="DMC1029UFDB Datasheet"/>
    <hyperlink ref="A58" r:id="rId_hyperlink_113" tooltip="DMC1030UFDB" display="DMC1030UFDB"/>
    <hyperlink ref="B58" r:id="rId_hyperlink_114" tooltip="DMC1030UFDB Datasheet" display="DMC1030UFDB Datasheet"/>
    <hyperlink ref="A59" r:id="rId_hyperlink_115" tooltip="DMC10H172SSD" display="DMC10H172SSD"/>
    <hyperlink ref="B59" r:id="rId_hyperlink_116" tooltip="DMC10H172SSD Datasheet" display="DMC10H172SSD Datasheet"/>
    <hyperlink ref="A60" r:id="rId_hyperlink_117" tooltip="DMC10H220LSD" display="DMC10H220LSD"/>
    <hyperlink ref="B60" r:id="rId_hyperlink_118" tooltip="DMC10H220LSD Datasheet" display="DMC10H220LSD Datasheet"/>
    <hyperlink ref="A61" r:id="rId_hyperlink_119" tooltip="DMC1229UFDB" display="DMC1229UFDB"/>
    <hyperlink ref="B61" r:id="rId_hyperlink_120" tooltip="DMC1229UFDB Datasheet" display="DMC1229UFDB Datasheet"/>
    <hyperlink ref="A62" r:id="rId_hyperlink_121" tooltip="DMC2004DWK" display="DMC2004DWK"/>
    <hyperlink ref="B62" r:id="rId_hyperlink_122" tooltip="DMC2004DWK Datasheet" display="DMC2004DWK Datasheet"/>
    <hyperlink ref="A63" r:id="rId_hyperlink_123" tooltip="DMC2004LPK" display="DMC2004LPK"/>
    <hyperlink ref="B63" r:id="rId_hyperlink_124" tooltip="DMC2004LPK Datasheet" display="DMC2004LPK Datasheet"/>
    <hyperlink ref="A64" r:id="rId_hyperlink_125" tooltip="DMC2020USD" display="DMC2020USD"/>
    <hyperlink ref="B64" r:id="rId_hyperlink_126" tooltip="DMC2020USD Datasheet" display="DMC2020USD Datasheet"/>
    <hyperlink ref="A65" r:id="rId_hyperlink_127" tooltip="DMC2025UFDB" display="DMC2025UFDB"/>
    <hyperlink ref="B65" r:id="rId_hyperlink_128" tooltip="DMC2025UFDB Datasheet" display="DMC2025UFDB Datasheet"/>
    <hyperlink ref="A66" r:id="rId_hyperlink_129" tooltip="DMC2025UFDBQ" display="DMC2025UFDBQ"/>
    <hyperlink ref="B66" r:id="rId_hyperlink_130" tooltip="DMC2025UFDBQ Datasheet" display="DMC2025UFDBQ Datasheet"/>
    <hyperlink ref="A67" r:id="rId_hyperlink_131" tooltip="DMC2041UFDB" display="DMC2041UFDB"/>
    <hyperlink ref="B67" r:id="rId_hyperlink_132" tooltip="DMC2041UFDB Datasheet" display="DMC2041UFDB Datasheet"/>
    <hyperlink ref="A68" r:id="rId_hyperlink_133" tooltip="DMC2053UFDB" display="DMC2053UFDB"/>
    <hyperlink ref="B68" r:id="rId_hyperlink_134" tooltip="DMC2053UFDB Datasheet" display="DMC2053UFDB Datasheet"/>
    <hyperlink ref="A69" r:id="rId_hyperlink_135" tooltip="DMC2053UFDBQ" display="DMC2053UFDBQ"/>
    <hyperlink ref="B69" r:id="rId_hyperlink_136" tooltip="DMC2053UFDBQ Datasheet" display="DMC2053UFDBQ Datasheet"/>
    <hyperlink ref="A70" r:id="rId_hyperlink_137" tooltip="DMC2053UVT" display="DMC2053UVT"/>
    <hyperlink ref="B70" r:id="rId_hyperlink_138" tooltip="DMC2053UVT Datasheet" display="DMC2053UVT Datasheet"/>
    <hyperlink ref="A71" r:id="rId_hyperlink_139" tooltip="DMC2053UVTQ" display="DMC2053UVTQ"/>
    <hyperlink ref="B71" r:id="rId_hyperlink_140" tooltip="DMC2053UVTQ Datasheet" display="DMC2053UVTQ Datasheet"/>
    <hyperlink ref="A72" r:id="rId_hyperlink_141" tooltip="DMC2057UVT" display="DMC2057UVT"/>
    <hyperlink ref="B72" r:id="rId_hyperlink_142" tooltip="DMC2057UVT Datasheet" display="DMC2057UVT Datasheet"/>
    <hyperlink ref="A73" r:id="rId_hyperlink_143" tooltip="DMC21D1UDA" display="DMC21D1UDA"/>
    <hyperlink ref="B73" r:id="rId_hyperlink_144" tooltip="DMC21D1UDA Datasheet" display="DMC21D1UDA Datasheet"/>
    <hyperlink ref="A74" r:id="rId_hyperlink_145" tooltip="DMC2400UV" display="DMC2400UV"/>
    <hyperlink ref="B74" r:id="rId_hyperlink_146" tooltip="DMC2400UV Datasheet" display="DMC2400UV Datasheet"/>
    <hyperlink ref="A75" r:id="rId_hyperlink_147" tooltip="DMC2400UVQ" display="DMC2400UVQ"/>
    <hyperlink ref="B75" r:id="rId_hyperlink_148" tooltip="DMC2400UVQ Datasheet" display="DMC2400UVQ Datasheet"/>
    <hyperlink ref="A76" r:id="rId_hyperlink_149" tooltip="DMC2450UV" display="DMC2450UV"/>
    <hyperlink ref="B76" r:id="rId_hyperlink_150" tooltip="DMC2450UV Datasheet" display="DMC2450UV Datasheet"/>
    <hyperlink ref="A77" r:id="rId_hyperlink_151" tooltip="DMC25D0UVT" display="DMC25D0UVT"/>
    <hyperlink ref="B77" r:id="rId_hyperlink_152" tooltip="DMC25D0UVT Datasheet" display="DMC25D0UVT Datasheet"/>
    <hyperlink ref="A78" r:id="rId_hyperlink_153" tooltip="DMC25D1UVT" display="DMC25D1UVT"/>
    <hyperlink ref="B78" r:id="rId_hyperlink_154" tooltip="DMC25D1UVT Datasheet" display="DMC25D1UVT Datasheet"/>
    <hyperlink ref="A79" r:id="rId_hyperlink_155" tooltip="DMC2700UDM" display="DMC2700UDM"/>
    <hyperlink ref="B79" r:id="rId_hyperlink_156" tooltip="DMC2700UDM Datasheet" display="DMC2700UDM Datasheet"/>
    <hyperlink ref="A80" r:id="rId_hyperlink_157" tooltip="DMC2710UDW" display="DMC2710UDW"/>
    <hyperlink ref="B80" r:id="rId_hyperlink_158" tooltip="DMC2710UDW Datasheet" display="DMC2710UDW Datasheet"/>
    <hyperlink ref="A81" r:id="rId_hyperlink_159" tooltip="DMC2710UDWQ" display="DMC2710UDWQ"/>
    <hyperlink ref="B81" r:id="rId_hyperlink_160" tooltip="DMC2710UDWQ Datasheet" display="DMC2710UDWQ Datasheet"/>
    <hyperlink ref="A82" r:id="rId_hyperlink_161" tooltip="DMC2710UV" display="DMC2710UV"/>
    <hyperlink ref="B82" r:id="rId_hyperlink_162" tooltip="DMC2710UV Datasheet" display="DMC2710UV Datasheet"/>
    <hyperlink ref="A83" r:id="rId_hyperlink_163" tooltip="DMC2710UVQ" display="DMC2710UVQ"/>
    <hyperlink ref="B83" r:id="rId_hyperlink_164" tooltip="DMC2710UVQ Datasheet" display="DMC2710UVQ Datasheet"/>
    <hyperlink ref="A84" r:id="rId_hyperlink_165" tooltip="DMC2710UVT" display="DMC2710UVT"/>
    <hyperlink ref="B84" r:id="rId_hyperlink_166" tooltip="DMC2710UVT Datasheet" display="DMC2710UVT Datasheet"/>
    <hyperlink ref="A85" r:id="rId_hyperlink_167" tooltip="DMC2990UDJ" display="DMC2990UDJ"/>
    <hyperlink ref="B85" r:id="rId_hyperlink_168" tooltip="DMC2990UDJ Datasheet" display="DMC2990UDJ Datasheet"/>
    <hyperlink ref="A86" r:id="rId_hyperlink_169" tooltip="DMC2990UDJQ" display="DMC2990UDJQ"/>
    <hyperlink ref="B86" r:id="rId_hyperlink_170" tooltip="DMC2990UDJQ Datasheet" display="DMC2990UDJQ Datasheet"/>
    <hyperlink ref="A87" r:id="rId_hyperlink_171" tooltip="DMC2991UDA" display="DMC2991UDA"/>
    <hyperlink ref="B87" r:id="rId_hyperlink_172" tooltip="DMC2991UDA Datasheet" display="DMC2991UDA Datasheet"/>
    <hyperlink ref="A88" r:id="rId_hyperlink_173" tooltip="DMC2991UDJ" display="DMC2991UDJ"/>
    <hyperlink ref="B88" r:id="rId_hyperlink_174" tooltip="DMC2991UDJ Datasheet" display="DMC2991UDJ Datasheet"/>
    <hyperlink ref="A89" r:id="rId_hyperlink_175" tooltip="DMC2991UDR4" display="DMC2991UDR4"/>
    <hyperlink ref="B89" r:id="rId_hyperlink_176" tooltip="DMC2991UDR4 Datasheet" display="DMC2991UDR4 Datasheet"/>
    <hyperlink ref="A90" r:id="rId_hyperlink_177" tooltip="DMC3016LDV" display="DMC3016LDV"/>
    <hyperlink ref="B90" r:id="rId_hyperlink_178" tooltip="DMC3016LDV Datasheet" display="DMC3016LDV Datasheet"/>
    <hyperlink ref="A91" r:id="rId_hyperlink_179" tooltip="DMC3016LNS" display="DMC3016LNS"/>
    <hyperlink ref="B91" r:id="rId_hyperlink_180" tooltip="DMC3016LNS Datasheet" display="DMC3016LNS Datasheet"/>
    <hyperlink ref="A92" r:id="rId_hyperlink_181" tooltip="DMC3016LSD" display="DMC3016LSD"/>
    <hyperlink ref="B92" r:id="rId_hyperlink_182" tooltip="DMC3016LSD Datasheet" display="DMC3016LSD Datasheet"/>
    <hyperlink ref="A93" r:id="rId_hyperlink_183" tooltip="DMC3020UDVW" display="DMC3020UDVW"/>
    <hyperlink ref="B93" r:id="rId_hyperlink_184" tooltip="DMC3020UDVW Datasheet" display="DMC3020UDVW Datasheet"/>
    <hyperlink ref="A94" r:id="rId_hyperlink_185" tooltip="DMC3021LSD" display="DMC3021LSD"/>
    <hyperlink ref="B94" r:id="rId_hyperlink_186" tooltip="DMC3021LSD Datasheet" display="DMC3021LSD Datasheet"/>
    <hyperlink ref="A95" r:id="rId_hyperlink_187" tooltip="DMC3021LSDQ" display="DMC3021LSDQ"/>
    <hyperlink ref="B95" r:id="rId_hyperlink_188" tooltip="DMC3021LSDQ Datasheet" display="DMC3021LSDQ Datasheet"/>
    <hyperlink ref="A96" r:id="rId_hyperlink_189" tooltip="DMC3025LDV" display="DMC3025LDV"/>
    <hyperlink ref="B96" r:id="rId_hyperlink_190" tooltip="DMC3025LDV Datasheet" display="DMC3025LDV Datasheet"/>
    <hyperlink ref="A97" r:id="rId_hyperlink_191" tooltip="DMC3025LNS" display="DMC3025LNS"/>
    <hyperlink ref="B97" r:id="rId_hyperlink_192" tooltip="DMC3025LNS Datasheet" display="DMC3025LNS Datasheet"/>
    <hyperlink ref="A98" r:id="rId_hyperlink_193" tooltip="DMC3025LSD" display="DMC3025LSD"/>
    <hyperlink ref="B98" r:id="rId_hyperlink_194" tooltip="DMC3025LSD Datasheet" display="DMC3025LSD Datasheet"/>
    <hyperlink ref="A99" r:id="rId_hyperlink_195" tooltip="DMC3025LSDQ" display="DMC3025LSDQ"/>
    <hyperlink ref="B99" r:id="rId_hyperlink_196" tooltip="DMC3025LSDQ Datasheet" display="DMC3025LSDQ Datasheet"/>
    <hyperlink ref="A100" r:id="rId_hyperlink_197" tooltip="DMC3026LSD" display="DMC3026LSD"/>
    <hyperlink ref="B100" r:id="rId_hyperlink_198" tooltip="DMC3026LSD Datasheet" display="DMC3026LSD Datasheet"/>
    <hyperlink ref="A101" r:id="rId_hyperlink_199" tooltip="DMC3028LSD" display="DMC3028LSD"/>
    <hyperlink ref="B101" r:id="rId_hyperlink_200" tooltip="DMC3028LSD Datasheet" display="DMC3028LSD Datasheet"/>
    <hyperlink ref="A102" r:id="rId_hyperlink_201" tooltip="DMC3028LSDX" display="DMC3028LSDX"/>
    <hyperlink ref="B102" r:id="rId_hyperlink_202" tooltip="DMC3028LSDX Datasheet" display="DMC3028LSDX Datasheet"/>
    <hyperlink ref="A103" r:id="rId_hyperlink_203" tooltip="DMC3028LSDXQ" display="DMC3028LSDXQ"/>
    <hyperlink ref="B103" r:id="rId_hyperlink_204" tooltip="DMC3028LSDXQ Datasheet" display="DMC3028LSDXQ Datasheet"/>
    <hyperlink ref="A104" r:id="rId_hyperlink_205" tooltip="DMC3032LFDB" display="DMC3032LFDB"/>
    <hyperlink ref="B104" r:id="rId_hyperlink_206" tooltip="DMC3032LFDB Datasheet" display="DMC3032LFDB Datasheet"/>
    <hyperlink ref="A105" r:id="rId_hyperlink_207" tooltip="DMC3032LSD" display="DMC3032LSD"/>
    <hyperlink ref="B105" r:id="rId_hyperlink_208" tooltip="DMC3032LSD Datasheet" display="DMC3032LSD Datasheet"/>
    <hyperlink ref="A106" r:id="rId_hyperlink_209" tooltip="DMC3060LVT" display="DMC3060LVT"/>
    <hyperlink ref="B106" r:id="rId_hyperlink_210" tooltip="DMC3060LVT Datasheet" display="DMC3060LVT Datasheet"/>
    <hyperlink ref="A107" r:id="rId_hyperlink_211" tooltip="DMC3060LVTQ" display="DMC3060LVTQ"/>
    <hyperlink ref="B107" r:id="rId_hyperlink_212" tooltip="DMC3060LVTQ Datasheet" display="DMC3060LVTQ Datasheet"/>
    <hyperlink ref="A108" r:id="rId_hyperlink_213" tooltip="DMC3061SVTQ" display="DMC3061SVTQ"/>
    <hyperlink ref="B108" r:id="rId_hyperlink_214" tooltip="DMC3061SVTQ Datasheet" display="DMC3061SVTQ Datasheet"/>
    <hyperlink ref="A109" r:id="rId_hyperlink_215" tooltip="DMC3071LVT" display="DMC3071LVT"/>
    <hyperlink ref="B109" r:id="rId_hyperlink_216" tooltip="DMC3071LVT Datasheet" display="DMC3071LVT Datasheet"/>
    <hyperlink ref="A110" r:id="rId_hyperlink_217" tooltip="DMC31D5UDA" display="DMC31D5UDA"/>
    <hyperlink ref="B110" r:id="rId_hyperlink_218" tooltip="DMC31D5UDA Datasheet" display="DMC31D5UDA Datasheet"/>
    <hyperlink ref="A111" r:id="rId_hyperlink_219" tooltip="DMC31D5UDAQ" display="DMC31D5UDAQ"/>
    <hyperlink ref="B111" r:id="rId_hyperlink_220" tooltip="DMC31D5UDAQ Datasheet" display="DMC31D5UDAQ Datasheet"/>
    <hyperlink ref="A112" r:id="rId_hyperlink_221" tooltip="DMC31D5UDJ" display="DMC31D5UDJ"/>
    <hyperlink ref="B112" r:id="rId_hyperlink_222" tooltip="DMC31D5UDJ Datasheet" display="DMC31D5UDJ Datasheet"/>
    <hyperlink ref="A113" r:id="rId_hyperlink_223" tooltip="DMC3350LDW" display="DMC3350LDW"/>
    <hyperlink ref="B113" r:id="rId_hyperlink_224" tooltip="DMC3350LDW Datasheet" display="DMC3350LDW Datasheet"/>
    <hyperlink ref="A114" r:id="rId_hyperlink_225" tooltip="DMC3350LDWQ" display="DMC3350LDWQ"/>
    <hyperlink ref="B114" r:id="rId_hyperlink_226" tooltip="DMC3350LDWQ Datasheet" display="DMC3350LDWQ Datasheet"/>
    <hyperlink ref="A115" r:id="rId_hyperlink_227" tooltip="DMC3400SDW" display="DMC3400SDW"/>
    <hyperlink ref="B115" r:id="rId_hyperlink_228" tooltip="DMC3400SDW Datasheet" display="DMC3400SDW Datasheet"/>
    <hyperlink ref="A116" r:id="rId_hyperlink_229" tooltip="DMC3401LDW" display="DMC3401LDW"/>
    <hyperlink ref="B116" r:id="rId_hyperlink_230" tooltip="DMC3401LDW Datasheet" display="DMC3401LDW Datasheet"/>
    <hyperlink ref="A117" r:id="rId_hyperlink_231" tooltip="DMC3730UFL3" display="DMC3730UFL3"/>
    <hyperlink ref="B117" r:id="rId_hyperlink_232" tooltip="DMC3730UFL3 Datasheet" display="DMC3730UFL3 Datasheet"/>
    <hyperlink ref="A118" r:id="rId_hyperlink_233" tooltip="DMC3730UVT" display="DMC3730UVT"/>
    <hyperlink ref="B118" r:id="rId_hyperlink_234" tooltip="DMC3730UVT Datasheet" display="DMC3730UVT Datasheet"/>
    <hyperlink ref="A119" r:id="rId_hyperlink_235" tooltip="DMC3732UVT" display="DMC3732UVT"/>
    <hyperlink ref="B119" r:id="rId_hyperlink_236" tooltip="DMC3732UVT Datasheet" display="DMC3732UVT Datasheet"/>
    <hyperlink ref="A120" r:id="rId_hyperlink_237" tooltip="DMC3732UVTQ" display="DMC3732UVTQ"/>
    <hyperlink ref="B120" r:id="rId_hyperlink_238" tooltip="DMC3732UVTQ Datasheet" display="DMC3732UVTQ Datasheet"/>
    <hyperlink ref="A121" r:id="rId_hyperlink_239" tooltip="DMC4015SSD" display="DMC4015SSD"/>
    <hyperlink ref="B121" r:id="rId_hyperlink_240" tooltip="DMC4015SSD Datasheet" display="DMC4015SSD Datasheet"/>
    <hyperlink ref="A122" r:id="rId_hyperlink_241" tooltip="DMC4028SSD" display="DMC4028SSD"/>
    <hyperlink ref="B122" r:id="rId_hyperlink_242" tooltip="DMC4028SSD Datasheet" display="DMC4028SSD Datasheet"/>
    <hyperlink ref="A123" r:id="rId_hyperlink_243" tooltip="DMC4029SK4" display="DMC4029SK4"/>
    <hyperlink ref="B123" r:id="rId_hyperlink_244" tooltip="DMC4029SK4 Datasheet" display="DMC4029SK4 Datasheet"/>
    <hyperlink ref="A124" r:id="rId_hyperlink_245" tooltip="DMC4029SSD" display="DMC4029SSD"/>
    <hyperlink ref="B124" r:id="rId_hyperlink_246" tooltip="DMC4029SSD Datasheet" display="DMC4029SSD Datasheet"/>
    <hyperlink ref="A125" r:id="rId_hyperlink_247" tooltip="DMC4040SSDQ" display="DMC4040SSDQ"/>
    <hyperlink ref="B125" r:id="rId_hyperlink_248" tooltip="DMC4040SSDQ Datasheet" display="DMC4040SSDQ Datasheet"/>
    <hyperlink ref="A126" r:id="rId_hyperlink_249" tooltip="DMC4047LSD" display="DMC4047LSD"/>
    <hyperlink ref="B126" r:id="rId_hyperlink_250" tooltip="DMC4047LSD Datasheet" display="DMC4047LSD Datasheet"/>
    <hyperlink ref="A127" r:id="rId_hyperlink_251" tooltip="DMC4050SSDQ" display="DMC4050SSDQ"/>
    <hyperlink ref="B127" r:id="rId_hyperlink_252" tooltip="DMC4050SSDQ Datasheet" display="DMC4050SSDQ Datasheet"/>
    <hyperlink ref="A128" r:id="rId_hyperlink_253" tooltip="DMC6022SSD" display="DMC6022SSD"/>
    <hyperlink ref="B128" r:id="rId_hyperlink_254" tooltip="DMC6022SSD Datasheet" display="DMC6022SSD Datasheet"/>
    <hyperlink ref="A129" r:id="rId_hyperlink_255" tooltip="DMC6040SSD" display="DMC6040SSD"/>
    <hyperlink ref="B129" r:id="rId_hyperlink_256" tooltip="DMC6040SSD Datasheet" display="DMC6040SSD Datasheet"/>
    <hyperlink ref="A130" r:id="rId_hyperlink_257" tooltip="DMC6040SSDQ" display="DMC6040SSDQ"/>
    <hyperlink ref="B130" r:id="rId_hyperlink_258" tooltip="DMC6040SSDQ Datasheet" display="DMC6040SSDQ Datasheet"/>
    <hyperlink ref="A131" r:id="rId_hyperlink_259" tooltip="DMC6070LND" display="DMC6070LND"/>
    <hyperlink ref="B131" r:id="rId_hyperlink_260" tooltip="DMC6070LND Datasheet" display="DMC6070LND Datasheet"/>
    <hyperlink ref="A132" r:id="rId_hyperlink_261" tooltip="DMC62D0SVQ" display="DMC62D0SVQ"/>
    <hyperlink ref="B132" r:id="rId_hyperlink_262" tooltip="DMC62D0SVQ Datasheet" display="DMC62D0SVQ Datasheet"/>
    <hyperlink ref="A133" r:id="rId_hyperlink_263" tooltip="DMC62D2SV" display="DMC62D2SV"/>
    <hyperlink ref="B133" r:id="rId_hyperlink_264" tooltip="DMC62D2SV Datasheet" display="DMC62D2SV Datasheet"/>
    <hyperlink ref="A134" r:id="rId_hyperlink_265" tooltip="DMC62D2SVQ" display="DMC62D2SVQ"/>
    <hyperlink ref="B134" r:id="rId_hyperlink_266" tooltip="DMC62D2SVQ Datasheet" display="DMC62D2SVQ Datasheet"/>
    <hyperlink ref="A135" r:id="rId_hyperlink_267" tooltip="DMC67D8UFDBQ" display="DMC67D8UFDBQ"/>
    <hyperlink ref="B135" r:id="rId_hyperlink_268" tooltip="DMC67D8UFDBQ Datasheet" display="DMC67D8UFDBQ Datasheet"/>
    <hyperlink ref="A136" r:id="rId_hyperlink_269" tooltip="DMG1012T" display="DMG1012T"/>
    <hyperlink ref="B136" r:id="rId_hyperlink_270" tooltip="DMG1012T Datasheet" display="DMG1012T Datasheet"/>
    <hyperlink ref="A137" r:id="rId_hyperlink_271" tooltip="DMG1012UW" display="DMG1012UW"/>
    <hyperlink ref="B137" r:id="rId_hyperlink_272" tooltip="DMG1012UW Datasheet" display="DMG1012UW Datasheet"/>
    <hyperlink ref="A138" r:id="rId_hyperlink_273" tooltip="DMG1012UWQ" display="DMG1012UWQ"/>
    <hyperlink ref="B138" r:id="rId_hyperlink_274" tooltip="DMG1012UWQ Datasheet" display="DMG1012UWQ Datasheet"/>
    <hyperlink ref="A139" r:id="rId_hyperlink_275" tooltip="DMG1013T" display="DMG1013T"/>
    <hyperlink ref="B139" r:id="rId_hyperlink_276" tooltip="DMG1013T Datasheet" display="DMG1013T Datasheet"/>
    <hyperlink ref="A140" r:id="rId_hyperlink_277" tooltip="DMG1013TQ" display="DMG1013TQ"/>
    <hyperlink ref="B140" r:id="rId_hyperlink_278" tooltip="DMG1013TQ Datasheet" display="DMG1013TQ Datasheet"/>
    <hyperlink ref="A141" r:id="rId_hyperlink_279" tooltip="DMG1013UW" display="DMG1013UW"/>
    <hyperlink ref="B141" r:id="rId_hyperlink_280" tooltip="DMG1013UW Datasheet" display="DMG1013UW Datasheet"/>
    <hyperlink ref="A142" r:id="rId_hyperlink_281" tooltip="DMG1013UWQ" display="DMG1013UWQ"/>
    <hyperlink ref="B142" r:id="rId_hyperlink_282" tooltip="DMG1013UWQ Datasheet" display="DMG1013UWQ Datasheet"/>
    <hyperlink ref="A143" r:id="rId_hyperlink_283" tooltip="DMG1016UDW" display="DMG1016UDW"/>
    <hyperlink ref="B143" r:id="rId_hyperlink_284" tooltip="DMG1016UDW Datasheet" display="DMG1016UDW Datasheet"/>
    <hyperlink ref="A144" r:id="rId_hyperlink_285" tooltip="DMG1016V" display="DMG1016V"/>
    <hyperlink ref="B144" r:id="rId_hyperlink_286" tooltip="DMG1016V Datasheet" display="DMG1016V Datasheet"/>
    <hyperlink ref="A145" r:id="rId_hyperlink_287" tooltip="DMG1023UV" display="DMG1023UV"/>
    <hyperlink ref="B145" r:id="rId_hyperlink_288" tooltip="DMG1023UV Datasheet" display="DMG1023UV Datasheet"/>
    <hyperlink ref="A146" r:id="rId_hyperlink_289" tooltip="DMG1023UVQ" display="DMG1023UVQ"/>
    <hyperlink ref="B146" r:id="rId_hyperlink_290" tooltip="DMG1023UVQ Datasheet" display="DMG1023UVQ Datasheet"/>
    <hyperlink ref="A147" r:id="rId_hyperlink_291" tooltip="DMG1024UV" display="DMG1024UV"/>
    <hyperlink ref="B147" r:id="rId_hyperlink_292" tooltip="DMG1024UV Datasheet" display="DMG1024UV Datasheet"/>
    <hyperlink ref="A148" r:id="rId_hyperlink_293" tooltip="DMG1026UVQ" display="DMG1026UVQ"/>
    <hyperlink ref="B148" r:id="rId_hyperlink_294" tooltip="DMG1026UVQ Datasheet" display="DMG1026UVQ Datasheet"/>
    <hyperlink ref="A149" r:id="rId_hyperlink_295" tooltip="DMG1029SVQ" display="DMG1029SVQ"/>
    <hyperlink ref="B149" r:id="rId_hyperlink_296" tooltip="DMG1029SVQ Datasheet" display="DMG1029SVQ Datasheet"/>
    <hyperlink ref="A150" r:id="rId_hyperlink_297" tooltip="DMG2301L" display="DMG2301L"/>
    <hyperlink ref="B150" r:id="rId_hyperlink_298" tooltip="DMG2301L Datasheet" display="DMG2301L Datasheet"/>
    <hyperlink ref="A151" r:id="rId_hyperlink_299" tooltip="DMG2301LK" display="DMG2301LK"/>
    <hyperlink ref="B151" r:id="rId_hyperlink_300" tooltip="DMG2301LK Datasheet" display="DMG2301LK Datasheet"/>
    <hyperlink ref="A152" r:id="rId_hyperlink_301" tooltip="DMG2301U" display="DMG2301U"/>
    <hyperlink ref="B152" r:id="rId_hyperlink_302" tooltip="DMG2301U Datasheet" display="DMG2301U Datasheet"/>
    <hyperlink ref="A153" r:id="rId_hyperlink_303" tooltip="DMG2302UK" display="DMG2302UK"/>
    <hyperlink ref="B153" r:id="rId_hyperlink_304" tooltip="DMG2302UK Datasheet" display="DMG2302UK Datasheet"/>
    <hyperlink ref="A154" r:id="rId_hyperlink_305" tooltip="DMG2302UKQ" display="DMG2302UKQ"/>
    <hyperlink ref="B154" r:id="rId_hyperlink_306" tooltip="DMG2302UKQ Datasheet" display="DMG2302UKQ Datasheet"/>
    <hyperlink ref="A155" r:id="rId_hyperlink_307" tooltip="DMG2305UX" display="DMG2305UX"/>
    <hyperlink ref="B155" r:id="rId_hyperlink_308" tooltip="DMG2305UX Datasheet" display="DMG2305UX Datasheet"/>
    <hyperlink ref="A156" r:id="rId_hyperlink_309" tooltip="DMG2305UXQ" display="DMG2305UXQ"/>
    <hyperlink ref="B156" r:id="rId_hyperlink_310" tooltip="DMG2305UXQ Datasheet" display="DMG2305UXQ Datasheet"/>
    <hyperlink ref="A157" r:id="rId_hyperlink_311" tooltip="DMG301NU" display="DMG301NU"/>
    <hyperlink ref="B157" r:id="rId_hyperlink_312" tooltip="DMG301NU Datasheet" display="DMG301NU Datasheet"/>
    <hyperlink ref="A158" r:id="rId_hyperlink_313" tooltip="DMG302PU" display="DMG302PU"/>
    <hyperlink ref="B158" r:id="rId_hyperlink_314" tooltip="DMG302PU Datasheet" display="DMG302PU Datasheet"/>
    <hyperlink ref="A159" r:id="rId_hyperlink_315" tooltip="DMG3401LSN" display="DMG3401LSN"/>
    <hyperlink ref="B159" r:id="rId_hyperlink_316" tooltip="DMG3401LSN Datasheet" display="DMG3401LSN Datasheet"/>
    <hyperlink ref="A160" r:id="rId_hyperlink_317" tooltip="DMG3401LSNQ" display="DMG3401LSNQ"/>
    <hyperlink ref="B160" r:id="rId_hyperlink_318" tooltip="DMG3401LSNQ Datasheet" display="DMG3401LSNQ Datasheet"/>
    <hyperlink ref="A161" r:id="rId_hyperlink_319" tooltip="DMG3402L" display="DMG3402L"/>
    <hyperlink ref="B161" r:id="rId_hyperlink_320" tooltip="DMG3402L Datasheet" display="DMG3402L Datasheet"/>
    <hyperlink ref="A162" r:id="rId_hyperlink_321" tooltip="DMG3402LQ" display="DMG3402LQ"/>
    <hyperlink ref="B162" r:id="rId_hyperlink_322" tooltip="DMG3402LQ Datasheet" display="DMG3402LQ Datasheet"/>
    <hyperlink ref="A163" r:id="rId_hyperlink_323" tooltip="DMG3404L" display="DMG3404L"/>
    <hyperlink ref="B163" r:id="rId_hyperlink_324" tooltip="DMG3404L Datasheet" display="DMG3404L Datasheet"/>
    <hyperlink ref="A164" r:id="rId_hyperlink_325" tooltip="DMG3406L" display="DMG3406L"/>
    <hyperlink ref="B164" r:id="rId_hyperlink_326" tooltip="DMG3406L Datasheet" display="DMG3406L Datasheet"/>
    <hyperlink ref="A165" r:id="rId_hyperlink_327" tooltip="DMG3407SSN" display="DMG3407SSN"/>
    <hyperlink ref="B165" r:id="rId_hyperlink_328" tooltip="DMG3407SSN Datasheet" display="DMG3407SSN Datasheet"/>
    <hyperlink ref="A166" r:id="rId_hyperlink_329" tooltip="DMG3413L" display="DMG3413L"/>
    <hyperlink ref="B166" r:id="rId_hyperlink_330" tooltip="DMG3413L Datasheet" display="DMG3413L Datasheet"/>
    <hyperlink ref="A167" r:id="rId_hyperlink_331" tooltip="DMG3414U" display="DMG3414U"/>
    <hyperlink ref="B167" r:id="rId_hyperlink_332" tooltip="DMG3414U Datasheet" display="DMG3414U Datasheet"/>
    <hyperlink ref="A168" r:id="rId_hyperlink_333" tooltip="DMG3414UQ" display="DMG3414UQ"/>
    <hyperlink ref="B168" r:id="rId_hyperlink_334" tooltip="DMG3414UQ Datasheet" display="DMG3414UQ Datasheet"/>
    <hyperlink ref="A169" r:id="rId_hyperlink_335" tooltip="DMG3415UFY4Q" display="DMG3415UFY4Q"/>
    <hyperlink ref="B169" r:id="rId_hyperlink_336" tooltip="DMG3415UFY4Q Datasheet" display="DMG3415UFY4Q Datasheet"/>
    <hyperlink ref="A170" r:id="rId_hyperlink_337" tooltip="DMG3418L" display="DMG3418L"/>
    <hyperlink ref="B170" r:id="rId_hyperlink_338" tooltip="DMG3418L Datasheet" display="DMG3418L Datasheet"/>
    <hyperlink ref="A171" r:id="rId_hyperlink_339" tooltip="DMG3420UQ" display="DMG3420UQ"/>
    <hyperlink ref="B171" r:id="rId_hyperlink_340" tooltip="DMG3420UQ Datasheet" display="DMG3420UQ Datasheet"/>
    <hyperlink ref="A172" r:id="rId_hyperlink_341" tooltip="DMG4466SSS" display="DMG4466SSS"/>
    <hyperlink ref="B172" r:id="rId_hyperlink_342" tooltip="DMG4466SSS Datasheet" display="DMG4466SSS Datasheet"/>
    <hyperlink ref="A173" r:id="rId_hyperlink_343" tooltip="DMG4466SSSL" display="DMG4466SSSL"/>
    <hyperlink ref="B173" r:id="rId_hyperlink_344" tooltip="DMG4466SSSL Datasheet" display="DMG4466SSSL Datasheet"/>
    <hyperlink ref="A174" r:id="rId_hyperlink_345" tooltip="DMG4468LFG" display="DMG4468LFG"/>
    <hyperlink ref="B174" r:id="rId_hyperlink_346" tooltip="DMG4468LFG Datasheet" display="DMG4468LFG Datasheet"/>
    <hyperlink ref="A175" r:id="rId_hyperlink_347" tooltip="DMG4468LK3" display="DMG4468LK3"/>
    <hyperlink ref="B175" r:id="rId_hyperlink_348" tooltip="DMG4468LK3 Datasheet" display="DMG4468LK3 Datasheet"/>
    <hyperlink ref="A176" r:id="rId_hyperlink_349" tooltip="DMG4496SSS" display="DMG4496SSS"/>
    <hyperlink ref="B176" r:id="rId_hyperlink_350" tooltip="DMG4496SSS Datasheet" display="DMG4496SSS Datasheet"/>
    <hyperlink ref="A177" r:id="rId_hyperlink_351" tooltip="DMG4511SK4" display="DMG4511SK4"/>
    <hyperlink ref="B177" r:id="rId_hyperlink_352" tooltip="DMG4511SK4 Datasheet" display="DMG4511SK4 Datasheet"/>
    <hyperlink ref="A178" r:id="rId_hyperlink_353" tooltip="DMG4800LFG" display="DMG4800LFG"/>
    <hyperlink ref="B178" r:id="rId_hyperlink_354" tooltip="DMG4800LFG Datasheet" display="DMG4800LFG Datasheet"/>
    <hyperlink ref="A179" r:id="rId_hyperlink_355" tooltip="DMG4800LK3" display="DMG4800LK3"/>
    <hyperlink ref="B179" r:id="rId_hyperlink_356" tooltip="DMG4800LK3 Datasheet" display="DMG4800LK3 Datasheet"/>
    <hyperlink ref="A180" r:id="rId_hyperlink_357" tooltip="DMG4800LSD" display="DMG4800LSD"/>
    <hyperlink ref="B180" r:id="rId_hyperlink_358" tooltip="DMG4800LSD Datasheet" display="DMG4800LSD Datasheet"/>
    <hyperlink ref="A181" r:id="rId_hyperlink_359" tooltip="DMG4822SSD" display="DMG4822SSD"/>
    <hyperlink ref="B181" r:id="rId_hyperlink_360" tooltip="DMG4822SSD Datasheet" display="DMG4822SSD Datasheet"/>
    <hyperlink ref="A182" r:id="rId_hyperlink_361" tooltip="DMG5802LFX" display="DMG5802LFX"/>
    <hyperlink ref="B182" r:id="rId_hyperlink_362" tooltip="DMG5802LFX Datasheet" display="DMG5802LFX Datasheet"/>
    <hyperlink ref="A183" r:id="rId_hyperlink_363" tooltip="DMG6301UDW" display="DMG6301UDW"/>
    <hyperlink ref="B183" r:id="rId_hyperlink_364" tooltip="DMG6301UDW Datasheet" display="DMG6301UDW Datasheet"/>
    <hyperlink ref="A184" r:id="rId_hyperlink_365" tooltip="DMG6302UDW" display="DMG6302UDW"/>
    <hyperlink ref="B184" r:id="rId_hyperlink_366" tooltip="DMG6302UDW Datasheet" display="DMG6302UDW Datasheet"/>
    <hyperlink ref="A185" r:id="rId_hyperlink_367" tooltip="DMG6402LVT" display="DMG6402LVT"/>
    <hyperlink ref="B185" r:id="rId_hyperlink_368" tooltip="DMG6402LVT Datasheet" display="DMG6402LVT Datasheet"/>
    <hyperlink ref="A186" r:id="rId_hyperlink_369" tooltip="DMG6601LVT" display="DMG6601LVT"/>
    <hyperlink ref="B186" r:id="rId_hyperlink_370" tooltip="DMG6601LVT Datasheet" display="DMG6601LVT Datasheet"/>
    <hyperlink ref="A187" r:id="rId_hyperlink_371" tooltip="DMG6898LSD" display="DMG6898LSD"/>
    <hyperlink ref="B187" r:id="rId_hyperlink_372" tooltip="DMG6898LSD Datasheet" display="DMG6898LSD Datasheet"/>
    <hyperlink ref="A188" r:id="rId_hyperlink_373" tooltip="DMG6968UDM" display="DMG6968UDM"/>
    <hyperlink ref="B188" r:id="rId_hyperlink_374" tooltip="DMG6968UDM Datasheet" display="DMG6968UDM Datasheet"/>
    <hyperlink ref="A189" r:id="rId_hyperlink_375" tooltip="DMG6968UTS" display="DMG6968UTS"/>
    <hyperlink ref="B189" r:id="rId_hyperlink_376" tooltip="DMG6968UTS Datasheet" display="DMG6968UTS Datasheet"/>
    <hyperlink ref="A190" r:id="rId_hyperlink_377" tooltip="DMG7410SFG" display="DMG7410SFG"/>
    <hyperlink ref="B190" r:id="rId_hyperlink_378" tooltip="DMG7410SFG Datasheet" display="DMG7410SFG Datasheet"/>
    <hyperlink ref="A191" r:id="rId_hyperlink_379" tooltip="DMG7430LFG" display="DMG7430LFG"/>
    <hyperlink ref="B191" r:id="rId_hyperlink_380" tooltip="DMG7430LFG Datasheet" display="DMG7430LFG Datasheet"/>
    <hyperlink ref="A192" r:id="rId_hyperlink_381" tooltip="DMG7430LFGQ" display="DMG7430LFGQ"/>
    <hyperlink ref="B192" r:id="rId_hyperlink_382" tooltip="DMG7430LFGQ Datasheet" display="DMG7430LFGQ Datasheet"/>
    <hyperlink ref="A193" r:id="rId_hyperlink_383" tooltip="DMG8601UFG" display="DMG8601UFG"/>
    <hyperlink ref="B193" r:id="rId_hyperlink_384" tooltip="DMG8601UFG Datasheet" display="DMG8601UFG Datasheet"/>
    <hyperlink ref="A194" r:id="rId_hyperlink_385" tooltip="DMG8822UTS" display="DMG8822UTS"/>
    <hyperlink ref="B194" r:id="rId_hyperlink_386" tooltip="DMG8822UTS Datasheet" display="DMG8822UTS Datasheet"/>
    <hyperlink ref="A195" r:id="rId_hyperlink_387" tooltip="DMG8880LK3" display="DMG8880LK3"/>
    <hyperlink ref="B195" r:id="rId_hyperlink_388" tooltip="DMG8880LK3 Datasheet" display="DMG8880LK3 Datasheet"/>
    <hyperlink ref="A196" r:id="rId_hyperlink_389" tooltip="DMG9926UDM" display="DMG9926UDM"/>
    <hyperlink ref="B196" r:id="rId_hyperlink_390" tooltip="DMG9926UDM Datasheet" display="DMG9926UDM Datasheet"/>
    <hyperlink ref="A197" r:id="rId_hyperlink_391" tooltip="DMG9926USD" display="DMG9926USD"/>
    <hyperlink ref="B197" r:id="rId_hyperlink_392" tooltip="DMG9926USD Datasheet" display="DMG9926USD Datasheet"/>
    <hyperlink ref="A198" r:id="rId_hyperlink_393" tooltip="DMG9933USD" display="DMG9933USD"/>
    <hyperlink ref="B198" r:id="rId_hyperlink_394" tooltip="DMG9933USD Datasheet" display="DMG9933USD Datasheet"/>
    <hyperlink ref="A199" r:id="rId_hyperlink_395" tooltip="DMGD7N45SSD" display="DMGD7N45SSD"/>
    <hyperlink ref="B199" r:id="rId_hyperlink_396" tooltip="DMGD7N45SSD Datasheet" display="DMGD7N45SSD Datasheet"/>
    <hyperlink ref="A200" r:id="rId_hyperlink_397" tooltip="DMHC10H170SFJ" display="DMHC10H170SFJ"/>
    <hyperlink ref="B200" r:id="rId_hyperlink_398" tooltip="DMHC10H170SFJ Datasheet" display="DMHC10H170SFJ Datasheet"/>
    <hyperlink ref="A201" r:id="rId_hyperlink_399" tooltip="DMHC3025LSD" display="DMHC3025LSD"/>
    <hyperlink ref="B201" r:id="rId_hyperlink_400" tooltip="DMHC3025LSD Datasheet" display="DMHC3025LSD Datasheet"/>
    <hyperlink ref="A202" r:id="rId_hyperlink_401" tooltip="DMHC3025LSDQ" display="DMHC3025LSDQ"/>
    <hyperlink ref="B202" r:id="rId_hyperlink_402" tooltip="DMHC3025LSDQ Datasheet" display="DMHC3025LSDQ Datasheet"/>
    <hyperlink ref="A203" r:id="rId_hyperlink_403" tooltip="DMHC4035LSD" display="DMHC4035LSD"/>
    <hyperlink ref="B203" r:id="rId_hyperlink_404" tooltip="DMHC4035LSD Datasheet" display="DMHC4035LSD Datasheet"/>
    <hyperlink ref="A204" r:id="rId_hyperlink_405" tooltip="DMHC4035LSDQ" display="DMHC4035LSDQ"/>
    <hyperlink ref="B204" r:id="rId_hyperlink_406" tooltip="DMHC4035LSDQ Datasheet" display="DMHC4035LSDQ Datasheet"/>
    <hyperlink ref="A205" r:id="rId_hyperlink_407" tooltip="DMHC6070LSD" display="DMHC6070LSD"/>
    <hyperlink ref="B205" r:id="rId_hyperlink_408" tooltip="DMHC6070LSD Datasheet" display="DMHC6070LSD Datasheet"/>
    <hyperlink ref="A206" r:id="rId_hyperlink_409" tooltip="DMHT10H032LFJ" display="DMHT10H032LFJ"/>
    <hyperlink ref="B206" r:id="rId_hyperlink_410" tooltip="DMHT10H032LFJ Datasheet" display="DMHT10H032LFJ Datasheet"/>
    <hyperlink ref="A207" r:id="rId_hyperlink_411" tooltip="DMHT3006LFJ" display="DMHT3006LFJ"/>
    <hyperlink ref="B207" r:id="rId_hyperlink_412" tooltip="DMHT3006LFJ Datasheet" display="DMHT3006LFJ Datasheet"/>
    <hyperlink ref="A208" r:id="rId_hyperlink_413" tooltip="DMHT6016LFJ" display="DMHT6016LFJ"/>
    <hyperlink ref="B208" r:id="rId_hyperlink_414" tooltip="DMHT6016LFJ Datasheet" display="DMHT6016LFJ Datasheet"/>
    <hyperlink ref="A209" r:id="rId_hyperlink_415" tooltip="DMN1001UCA10" display="DMN1001UCA10"/>
    <hyperlink ref="B209" r:id="rId_hyperlink_416" tooltip="DMN1001UCA10 Datasheet" display="DMN1001UCA10 Datasheet"/>
    <hyperlink ref="A210" r:id="rId_hyperlink_417" tooltip="DMN1002UCA6" display="DMN1002UCA6"/>
    <hyperlink ref="B210" r:id="rId_hyperlink_418" tooltip="DMN1002UCA6 Datasheet" display="DMN1002UCA6 Datasheet"/>
    <hyperlink ref="A211" r:id="rId_hyperlink_419" tooltip="DMN1003UCA6" display="DMN1003UCA6"/>
    <hyperlink ref="B211" r:id="rId_hyperlink_420" tooltip="DMN1003UCA6 Datasheet" display="DMN1003UCA6 Datasheet"/>
    <hyperlink ref="A212" r:id="rId_hyperlink_421" tooltip="DMN1003UFDE" display="DMN1003UFDE"/>
    <hyperlink ref="B212" r:id="rId_hyperlink_422" tooltip="DMN1003UFDE Datasheet" display="DMN1003UFDE Datasheet"/>
    <hyperlink ref="A213" r:id="rId_hyperlink_423" tooltip="DMN1004UFDF" display="DMN1004UFDF"/>
    <hyperlink ref="B213" r:id="rId_hyperlink_424" tooltip="DMN1004UFDF Datasheet" display="DMN1004UFDF Datasheet"/>
    <hyperlink ref="A214" r:id="rId_hyperlink_425" tooltip="DMN1004UFV" display="DMN1004UFV"/>
    <hyperlink ref="B214" r:id="rId_hyperlink_426" tooltip="DMN1004UFV Datasheet" display="DMN1004UFV Datasheet"/>
    <hyperlink ref="A215" r:id="rId_hyperlink_427" tooltip="DMN1006UCA6" display="DMN1006UCA6"/>
    <hyperlink ref="B215" r:id="rId_hyperlink_428" tooltip="DMN1006UCA6 Datasheet" display="DMN1006UCA6 Datasheet"/>
    <hyperlink ref="A216" r:id="rId_hyperlink_429" tooltip="DMN1008UFDF" display="DMN1008UFDF"/>
    <hyperlink ref="B216" r:id="rId_hyperlink_430" tooltip="DMN1008UFDF Datasheet" display="DMN1008UFDF Datasheet"/>
    <hyperlink ref="A217" r:id="rId_hyperlink_431" tooltip="DMN1008UFDFQ" display="DMN1008UFDFQ"/>
    <hyperlink ref="B217" r:id="rId_hyperlink_432" tooltip="DMN1008UFDFQ Datasheet" display="DMN1008UFDFQ Datasheet"/>
    <hyperlink ref="A218" r:id="rId_hyperlink_433" tooltip="DMN1014UFDF" display="DMN1014UFDF"/>
    <hyperlink ref="B218" r:id="rId_hyperlink_434" tooltip="DMN1014UFDF Datasheet" display="DMN1014UFDF Datasheet"/>
    <hyperlink ref="A219" r:id="rId_hyperlink_435" tooltip="DMN1017UCP3" display="DMN1017UCP3"/>
    <hyperlink ref="B219" r:id="rId_hyperlink_436" tooltip="DMN1017UCP3 Datasheet" display="DMN1017UCP3 Datasheet"/>
    <hyperlink ref="A220" r:id="rId_hyperlink_437" tooltip="DMN1019UFDE" display="DMN1019UFDE"/>
    <hyperlink ref="B220" r:id="rId_hyperlink_438" tooltip="DMN1019UFDE Datasheet" display="DMN1019UFDE Datasheet"/>
    <hyperlink ref="A221" r:id="rId_hyperlink_439" tooltip="DMN1019USN" display="DMN1019USN"/>
    <hyperlink ref="B221" r:id="rId_hyperlink_440" tooltip="DMN1019USN Datasheet" display="DMN1019USN Datasheet"/>
    <hyperlink ref="A222" r:id="rId_hyperlink_441" tooltip="DMN1019USNQ" display="DMN1019USNQ"/>
    <hyperlink ref="B222" r:id="rId_hyperlink_442" tooltip="DMN1019USNQ Datasheet" display="DMN1019USNQ Datasheet"/>
    <hyperlink ref="A223" r:id="rId_hyperlink_443" tooltip="DMN1019UVT" display="DMN1019UVT"/>
    <hyperlink ref="B223" r:id="rId_hyperlink_444" tooltip="DMN1019UVT Datasheet" display="DMN1019UVT Datasheet"/>
    <hyperlink ref="A224" r:id="rId_hyperlink_445" tooltip="DMN1021UCA4" display="DMN1021UCA4"/>
    <hyperlink ref="B224" r:id="rId_hyperlink_446" tooltip="DMN1021UCA4 Datasheet" display="DMN1021UCA4 Datasheet"/>
    <hyperlink ref="A225" r:id="rId_hyperlink_447" tooltip="DMN1025UFDB" display="DMN1025UFDB"/>
    <hyperlink ref="B225" r:id="rId_hyperlink_448" tooltip="DMN1025UFDB Datasheet" display="DMN1025UFDB Datasheet"/>
    <hyperlink ref="A226" r:id="rId_hyperlink_449" tooltip="DMN1029UFDB" display="DMN1029UFDB"/>
    <hyperlink ref="B226" r:id="rId_hyperlink_450" tooltip="DMN1029UFDB Datasheet" display="DMN1029UFDB Datasheet"/>
    <hyperlink ref="A227" r:id="rId_hyperlink_451" tooltip="DMN1032UCP4" display="DMN1032UCP4"/>
    <hyperlink ref="B227" r:id="rId_hyperlink_452" tooltip="DMN1032UCP4 Datasheet" display="DMN1032UCP4 Datasheet"/>
    <hyperlink ref="A228" r:id="rId_hyperlink_453" tooltip="DMN1045UFR4" display="DMN1045UFR4"/>
    <hyperlink ref="B228" r:id="rId_hyperlink_454" tooltip="DMN1045UFR4 Datasheet" display="DMN1045UFR4 Datasheet"/>
    <hyperlink ref="A229" r:id="rId_hyperlink_455" tooltip="DMN1053UCP4" display="DMN1053UCP4"/>
    <hyperlink ref="B229" r:id="rId_hyperlink_456" tooltip="DMN1053UCP4 Datasheet" display="DMN1053UCP4 Datasheet"/>
    <hyperlink ref="A230" r:id="rId_hyperlink_457" tooltip="DMN1054UCB4" display="DMN1054UCB4"/>
    <hyperlink ref="B230" r:id="rId_hyperlink_458" tooltip="DMN1054UCB4 Datasheet" display="DMN1054UCB4 Datasheet"/>
    <hyperlink ref="A231" r:id="rId_hyperlink_459" tooltip="DMN10H099SFG" display="DMN10H099SFG"/>
    <hyperlink ref="B231" r:id="rId_hyperlink_460" tooltip="DMN10H099SFG Datasheet" display="DMN10H099SFG Datasheet"/>
    <hyperlink ref="A232" r:id="rId_hyperlink_461" tooltip="DMN10H099SK3" display="DMN10H099SK3"/>
    <hyperlink ref="B232" r:id="rId_hyperlink_462" tooltip="DMN10H099SK3 Datasheet" display="DMN10H099SK3 Datasheet"/>
    <hyperlink ref="A233" r:id="rId_hyperlink_463" tooltip="DMN10H100SK3" display="DMN10H100SK3"/>
    <hyperlink ref="B233" r:id="rId_hyperlink_464" tooltip="DMN10H100SK3 Datasheet" display="DMN10H100SK3 Datasheet"/>
    <hyperlink ref="A234" r:id="rId_hyperlink_465" tooltip="DMN10H120SE" display="DMN10H120SE"/>
    <hyperlink ref="B234" r:id="rId_hyperlink_466" tooltip="DMN10H120SE Datasheet" display="DMN10H120SE Datasheet"/>
    <hyperlink ref="A235" r:id="rId_hyperlink_467" tooltip="DMN10H120SFG" display="DMN10H120SFG"/>
    <hyperlink ref="B235" r:id="rId_hyperlink_468" tooltip="DMN10H120SFG Datasheet" display="DMN10H120SFG Datasheet"/>
    <hyperlink ref="A236" r:id="rId_hyperlink_469" tooltip="DMN10H170SFDE" display="DMN10H170SFDE"/>
    <hyperlink ref="B236" r:id="rId_hyperlink_470" tooltip="DMN10H170SFDE Datasheet" display="DMN10H170SFDE Datasheet"/>
    <hyperlink ref="A237" r:id="rId_hyperlink_471" tooltip="DMN10H170SFG" display="DMN10H170SFG"/>
    <hyperlink ref="B237" r:id="rId_hyperlink_472" tooltip="DMN10H170SFG Datasheet" display="DMN10H170SFG Datasheet"/>
    <hyperlink ref="A238" r:id="rId_hyperlink_473" tooltip="DMN10H170SFGQ" display="DMN10H170SFGQ"/>
    <hyperlink ref="B238" r:id="rId_hyperlink_474" tooltip="DMN10H170SFGQ Datasheet" display="DMN10H170SFGQ Datasheet"/>
    <hyperlink ref="A239" r:id="rId_hyperlink_475" tooltip="DMN10H170SK3" display="DMN10H170SK3"/>
    <hyperlink ref="B239" r:id="rId_hyperlink_476" tooltip="DMN10H170SK3 Datasheet" display="DMN10H170SK3 Datasheet"/>
    <hyperlink ref="A240" r:id="rId_hyperlink_477" tooltip="DMN10H170SK3Q" display="DMN10H170SK3Q"/>
    <hyperlink ref="B240" r:id="rId_hyperlink_478" tooltip="DMN10H170SK3Q Datasheet" display="DMN10H170SK3Q Datasheet"/>
    <hyperlink ref="A241" r:id="rId_hyperlink_479" tooltip="DMN10H170SVT" display="DMN10H170SVT"/>
    <hyperlink ref="B241" r:id="rId_hyperlink_480" tooltip="DMN10H170SVT Datasheet" display="DMN10H170SVT Datasheet"/>
    <hyperlink ref="A242" r:id="rId_hyperlink_481" tooltip="DMN10H170SVTQ" display="DMN10H170SVTQ"/>
    <hyperlink ref="B242" r:id="rId_hyperlink_482" tooltip="DMN10H170SVTQ Datasheet" display="DMN10H170SVTQ Datasheet"/>
    <hyperlink ref="A243" r:id="rId_hyperlink_483" tooltip="DMN10H220L" display="DMN10H220L"/>
    <hyperlink ref="B243" r:id="rId_hyperlink_484" tooltip="DMN10H220L Datasheet" display="DMN10H220L Datasheet"/>
    <hyperlink ref="A244" r:id="rId_hyperlink_485" tooltip="DMN10H220LDV" display="DMN10H220LDV"/>
    <hyperlink ref="B244" r:id="rId_hyperlink_486" tooltip="DMN10H220LDV Datasheet" display="DMN10H220LDV Datasheet"/>
    <hyperlink ref="A245" r:id="rId_hyperlink_487" tooltip="DMN10H220LE" display="DMN10H220LE"/>
    <hyperlink ref="B245" r:id="rId_hyperlink_488" tooltip="DMN10H220LE Datasheet" display="DMN10H220LE Datasheet"/>
    <hyperlink ref="A246" r:id="rId_hyperlink_489" tooltip="DMN10H220LFDF" display="DMN10H220LFDF"/>
    <hyperlink ref="B246" r:id="rId_hyperlink_490" tooltip="DMN10H220LFDF Datasheet" display="DMN10H220LFDF Datasheet"/>
    <hyperlink ref="A247" r:id="rId_hyperlink_491" tooltip="DMN10H220LFVW" display="DMN10H220LFVW"/>
    <hyperlink ref="B247" r:id="rId_hyperlink_492" tooltip="DMN10H220LFVW Datasheet" display="DMN10H220LFVW Datasheet"/>
    <hyperlink ref="A248" r:id="rId_hyperlink_493" tooltip="DMN10H220LK3" display="DMN10H220LK3"/>
    <hyperlink ref="B248" r:id="rId_hyperlink_494" tooltip="DMN10H220LK3 Datasheet" display="DMN10H220LK3 Datasheet"/>
    <hyperlink ref="A249" r:id="rId_hyperlink_495" tooltip="DMN10H220LPDW" display="DMN10H220LPDW"/>
    <hyperlink ref="B249" r:id="rId_hyperlink_496" tooltip="DMN10H220LPDW Datasheet" display="DMN10H220LPDW Datasheet"/>
    <hyperlink ref="A250" r:id="rId_hyperlink_497" tooltip="DMN10H220LQ" display="DMN10H220LQ"/>
    <hyperlink ref="B250" r:id="rId_hyperlink_498" tooltip="DMN10H220LQ Datasheet" display="DMN10H220LQ Datasheet"/>
    <hyperlink ref="A251" r:id="rId_hyperlink_499" tooltip="DMN10H220LVT" display="DMN10H220LVT"/>
    <hyperlink ref="B251" r:id="rId_hyperlink_500" tooltip="DMN10H220LVT Datasheet" display="DMN10H220LVT Datasheet"/>
    <hyperlink ref="A252" r:id="rId_hyperlink_501" tooltip="DMN10H6D2LFDB" display="DMN10H6D2LFDB"/>
    <hyperlink ref="B252" r:id="rId_hyperlink_502" tooltip="DMN10H6D2LFDB Datasheet" display="DMN10H6D2LFDB Datasheet"/>
    <hyperlink ref="A253" r:id="rId_hyperlink_503" tooltip="DMN10H700S" display="DMN10H700S"/>
    <hyperlink ref="B253" r:id="rId_hyperlink_504" tooltip="DMN10H700S Datasheet" display="DMN10H700S Datasheet"/>
    <hyperlink ref="A254" r:id="rId_hyperlink_505" tooltip="DMN1150UFB" display="DMN1150UFB"/>
    <hyperlink ref="B254" r:id="rId_hyperlink_506" tooltip="DMN1150UFB Datasheet" display="DMN1150UFB Datasheet"/>
    <hyperlink ref="A255" r:id="rId_hyperlink_507" tooltip="DMN1150UFL3" display="DMN1150UFL3"/>
    <hyperlink ref="B255" r:id="rId_hyperlink_508" tooltip="DMN1150UFL3 Datasheet" display="DMN1150UFL3 Datasheet"/>
    <hyperlink ref="A256" r:id="rId_hyperlink_509" tooltip="DMN1250UFEL" display="DMN1250UFEL"/>
    <hyperlink ref="B256" r:id="rId_hyperlink_510" tooltip="DMN1250UFEL Datasheet" display="DMN1250UFEL Datasheet"/>
    <hyperlink ref="A257" r:id="rId_hyperlink_511" tooltip="DMN1260UFA" display="DMN1260UFA"/>
    <hyperlink ref="B257" r:id="rId_hyperlink_512" tooltip="DMN1260UFA Datasheet" display="DMN1260UFA Datasheet"/>
    <hyperlink ref="A258" r:id="rId_hyperlink_513" tooltip="DMN12M3UCA6" display="DMN12M3UCA6"/>
    <hyperlink ref="B258" r:id="rId_hyperlink_514" tooltip="DMN12M3UCA6 Datasheet" display="DMN12M3UCA6 Datasheet"/>
    <hyperlink ref="A259" r:id="rId_hyperlink_515" tooltip="DMN12M7UCA10" display="DMN12M7UCA10"/>
    <hyperlink ref="B259" r:id="rId_hyperlink_516" tooltip="DMN12M7UCA10 Datasheet" display="DMN12M7UCA10 Datasheet"/>
    <hyperlink ref="A260" r:id="rId_hyperlink_517" tooltip="DMN12M8UCA10" display="DMN12M8UCA10"/>
    <hyperlink ref="B260" r:id="rId_hyperlink_518" tooltip="DMN12M8UCA10 Datasheet" display="DMN12M8UCA10 Datasheet"/>
    <hyperlink ref="A261" r:id="rId_hyperlink_519" tooltip="DMN13H750S" display="DMN13H750S"/>
    <hyperlink ref="B261" r:id="rId_hyperlink_520" tooltip="DMN13H750S Datasheet" display="DMN13H750S Datasheet"/>
    <hyperlink ref="A262" r:id="rId_hyperlink_521" tooltip="DMN13M9UCA6" display="DMN13M9UCA6"/>
    <hyperlink ref="B262" r:id="rId_hyperlink_522" tooltip="DMN13M9UCA6 Datasheet" display="DMN13M9UCA6 Datasheet"/>
    <hyperlink ref="A263" r:id="rId_hyperlink_523" tooltip="DMN14M8UFDF" display="DMN14M8UFDF"/>
    <hyperlink ref="B263" r:id="rId_hyperlink_524" tooltip="DMN14M8UFDF Datasheet" display="DMN14M8UFDF Datasheet"/>
    <hyperlink ref="A264" r:id="rId_hyperlink_525" tooltip="DMN15H310SE" display="DMN15H310SE"/>
    <hyperlink ref="B264" r:id="rId_hyperlink_526" tooltip="DMN15H310SE Datasheet" display="DMN15H310SE Datasheet"/>
    <hyperlink ref="A265" r:id="rId_hyperlink_527" tooltip="DMN15H310SK3" display="DMN15H310SK3"/>
    <hyperlink ref="B265" r:id="rId_hyperlink_528" tooltip="DMN15H310SK3 Datasheet" display="DMN15H310SK3 Datasheet"/>
    <hyperlink ref="A266" r:id="rId_hyperlink_529" tooltip="DMN15M3UCA6" display="DMN15M3UCA6"/>
    <hyperlink ref="B266" r:id="rId_hyperlink_530" tooltip="DMN15M3UCA6 Datasheet" display="DMN15M3UCA6 Datasheet"/>
    <hyperlink ref="A267" r:id="rId_hyperlink_531" tooltip="DMN15M5UCA4" display="DMN15M5UCA4"/>
    <hyperlink ref="B267" r:id="rId_hyperlink_532" tooltip="DMN15M5UCA4 Datasheet" display="DMN15M5UCA4 Datasheet"/>
    <hyperlink ref="A268" r:id="rId_hyperlink_533" tooltip="DMN15M5UCA6" display="DMN15M5UCA6"/>
    <hyperlink ref="B268" r:id="rId_hyperlink_534" tooltip="DMN15M5UCA6 Datasheet" display="DMN15M5UCA6 Datasheet"/>
    <hyperlink ref="A269" r:id="rId_hyperlink_535" tooltip="DMN16M0UCA6" display="DMN16M0UCA6"/>
    <hyperlink ref="B269" r:id="rId_hyperlink_536" tooltip="DMN16M0UCA6 Datasheet" display="DMN16M0UCA6 Datasheet"/>
    <hyperlink ref="A270" r:id="rId_hyperlink_537" tooltip="DMN16M7UCA6" display="DMN16M7UCA6"/>
    <hyperlink ref="B270" r:id="rId_hyperlink_538" tooltip="DMN16M7UCA6 Datasheet" display="DMN16M7UCA6 Datasheet"/>
    <hyperlink ref="A271" r:id="rId_hyperlink_539" tooltip="DMN16M8UCA6" display="DMN16M8UCA6"/>
    <hyperlink ref="B271" r:id="rId_hyperlink_540" tooltip="DMN16M8UCA6 Datasheet" display="DMN16M8UCA6 Datasheet"/>
    <hyperlink ref="A272" r:id="rId_hyperlink_541" tooltip="DMN16M9UCA6" display="DMN16M9UCA6"/>
    <hyperlink ref="B272" r:id="rId_hyperlink_542" tooltip="DMN16M9UCA6 Datasheet" display="DMN16M9UCA6 Datasheet"/>
    <hyperlink ref="A273" r:id="rId_hyperlink_543" tooltip="DMN2004DMK" display="DMN2004DMK"/>
    <hyperlink ref="B273" r:id="rId_hyperlink_544" tooltip="DMN2004DMK Datasheet" display="DMN2004DMK Datasheet"/>
    <hyperlink ref="A274" r:id="rId_hyperlink_545" tooltip="DMN2004DWK" display="DMN2004DWK"/>
    <hyperlink ref="B274" r:id="rId_hyperlink_546" tooltip="DMN2004DWK Datasheet" display="DMN2004DWK Datasheet"/>
    <hyperlink ref="A275" r:id="rId_hyperlink_547" tooltip="DMN2004K" display="DMN2004K"/>
    <hyperlink ref="B275" r:id="rId_hyperlink_548" tooltip="DMN2004K Datasheet" display="DMN2004K Datasheet"/>
    <hyperlink ref="A276" r:id="rId_hyperlink_549" tooltip="DMN2004TK" display="DMN2004TK"/>
    <hyperlink ref="B276" r:id="rId_hyperlink_550" tooltip="DMN2004TK Datasheet" display="DMN2004TK Datasheet"/>
    <hyperlink ref="A277" r:id="rId_hyperlink_551" tooltip="DMN2004VK" display="DMN2004VK"/>
    <hyperlink ref="B277" r:id="rId_hyperlink_552" tooltip="DMN2004VK Datasheet" display="DMN2004VK Datasheet"/>
    <hyperlink ref="A278" r:id="rId_hyperlink_553" tooltip="DMN2004WK" display="DMN2004WK"/>
    <hyperlink ref="B278" r:id="rId_hyperlink_554" tooltip="DMN2004WK Datasheet" display="DMN2004WK Datasheet"/>
    <hyperlink ref="A279" r:id="rId_hyperlink_555" tooltip="DMN2004WKQ" display="DMN2004WKQ"/>
    <hyperlink ref="B279" r:id="rId_hyperlink_556" tooltip="DMN2004WKQ Datasheet" display="DMN2004WKQ Datasheet"/>
    <hyperlink ref="A280" r:id="rId_hyperlink_557" tooltip="DMN2005DLP4K" display="DMN2005DLP4K"/>
    <hyperlink ref="B280" r:id="rId_hyperlink_558" tooltip="DMN2005DLP4K Datasheet" display="DMN2005DLP4K Datasheet"/>
    <hyperlink ref="A281" r:id="rId_hyperlink_559" tooltip="DMN2005K" display="DMN2005K"/>
    <hyperlink ref="B281" r:id="rId_hyperlink_560" tooltip="DMN2005K Datasheet" display="DMN2005K Datasheet"/>
    <hyperlink ref="A282" r:id="rId_hyperlink_561" tooltip="DMN2005LP4K" display="DMN2005LP4K"/>
    <hyperlink ref="B282" r:id="rId_hyperlink_562" tooltip="DMN2005LP4K Datasheet" display="DMN2005LP4K Datasheet"/>
    <hyperlink ref="A283" r:id="rId_hyperlink_563" tooltip="DMN2005LPK" display="DMN2005LPK"/>
    <hyperlink ref="B283" r:id="rId_hyperlink_564" tooltip="DMN2005LPK Datasheet" display="DMN2005LPK Datasheet"/>
    <hyperlink ref="A284" r:id="rId_hyperlink_565" tooltip="DMN2005UFG" display="DMN2005UFG"/>
    <hyperlink ref="B284" r:id="rId_hyperlink_566" tooltip="DMN2005UFG Datasheet" display="DMN2005UFG Datasheet"/>
    <hyperlink ref="A285" r:id="rId_hyperlink_567" tooltip="DMN2005UFGQ" display="DMN2005UFGQ"/>
    <hyperlink ref="B285" r:id="rId_hyperlink_568" tooltip="DMN2005UFGQ Datasheet" display="DMN2005UFGQ Datasheet"/>
    <hyperlink ref="A286" r:id="rId_hyperlink_569" tooltip="DMN2005UPS" display="DMN2005UPS"/>
    <hyperlink ref="B286" r:id="rId_hyperlink_570" tooltip="DMN2005UPS Datasheet" display="DMN2005UPS Datasheet"/>
    <hyperlink ref="A287" r:id="rId_hyperlink_571" tooltip="DMN2008LFU" display="DMN2008LFU"/>
    <hyperlink ref="B287" r:id="rId_hyperlink_572" tooltip="DMN2008LFU Datasheet" display="DMN2008LFU Datasheet"/>
    <hyperlink ref="A288" r:id="rId_hyperlink_573" tooltip="DMN2009LSS" display="DMN2009LSS"/>
    <hyperlink ref="B288" r:id="rId_hyperlink_574" tooltip="DMN2009LSS Datasheet" display="DMN2009LSS Datasheet"/>
    <hyperlink ref="A289" r:id="rId_hyperlink_575" tooltip="DMN2009UCA4" display="DMN2009UCA4"/>
    <hyperlink ref="B289" r:id="rId_hyperlink_576" tooltip="DMN2009UCA4 Datasheet" display="DMN2009UCA4 Datasheet"/>
    <hyperlink ref="A290" r:id="rId_hyperlink_577" tooltip="DMN2009UFDF" display="DMN2009UFDF"/>
    <hyperlink ref="B290" r:id="rId_hyperlink_578" tooltip="DMN2009UFDF Datasheet" display="DMN2009UFDF Datasheet"/>
    <hyperlink ref="A291" r:id="rId_hyperlink_579" tooltip="DMN2009USS" display="DMN2009USS"/>
    <hyperlink ref="B291" r:id="rId_hyperlink_580" tooltip="DMN2009USS Datasheet" display="DMN2009USS Datasheet"/>
    <hyperlink ref="A292" r:id="rId_hyperlink_581" tooltip="DMN2011UCA6" display="DMN2011UCA6"/>
    <hyperlink ref="B292" r:id="rId_hyperlink_582" tooltip="DMN2011UCA6 Datasheet" display="DMN2011UCA6 Datasheet"/>
    <hyperlink ref="A293" r:id="rId_hyperlink_583" tooltip="DMN2011UFDE" display="DMN2011UFDE"/>
    <hyperlink ref="B293" r:id="rId_hyperlink_584" tooltip="DMN2011UFDE Datasheet" display="DMN2011UFDE Datasheet"/>
    <hyperlink ref="A294" r:id="rId_hyperlink_585" tooltip="DMN2011UFDF" display="DMN2011UFDF"/>
    <hyperlink ref="B294" r:id="rId_hyperlink_586" tooltip="DMN2011UFDF Datasheet" display="DMN2011UFDF Datasheet"/>
    <hyperlink ref="A295" r:id="rId_hyperlink_587" tooltip="DMN2011UFX" display="DMN2011UFX"/>
    <hyperlink ref="B295" r:id="rId_hyperlink_588" tooltip="DMN2011UFX Datasheet" display="DMN2011UFX Datasheet"/>
    <hyperlink ref="A296" r:id="rId_hyperlink_589" tooltip="DMN2011UTS" display="DMN2011UTS"/>
    <hyperlink ref="B296" r:id="rId_hyperlink_590" tooltip="DMN2011UTS Datasheet" display="DMN2011UTS Datasheet"/>
    <hyperlink ref="A297" r:id="rId_hyperlink_591" tooltip="DMN2012UCA6" display="DMN2012UCA6"/>
    <hyperlink ref="B297" r:id="rId_hyperlink_592" tooltip="DMN2012UCA6 Datasheet" display="DMN2012UCA6 Datasheet"/>
    <hyperlink ref="A298" r:id="rId_hyperlink_593" tooltip="DMN2013UFDE" display="DMN2013UFDE"/>
    <hyperlink ref="B298" r:id="rId_hyperlink_594" tooltip="DMN2013UFDE Datasheet" display="DMN2013UFDE Datasheet"/>
    <hyperlink ref="A299" r:id="rId_hyperlink_595" tooltip="DMN2013UFDEQ" display="DMN2013UFDEQ"/>
    <hyperlink ref="B299" r:id="rId_hyperlink_596" tooltip="DMN2013UFDEQ Datasheet" display="DMN2013UFDEQ Datasheet"/>
    <hyperlink ref="A300" r:id="rId_hyperlink_597" tooltip="DMN2013UFX" display="DMN2013UFX"/>
    <hyperlink ref="B300" r:id="rId_hyperlink_598" tooltip="DMN2013UFX Datasheet" display="DMN2013UFX Datasheet"/>
    <hyperlink ref="A301" r:id="rId_hyperlink_599" tooltip="DMN2014LHAB" display="DMN2014LHAB"/>
    <hyperlink ref="B301" r:id="rId_hyperlink_600" tooltip="DMN2014LHAB Datasheet" display="DMN2014LHAB Datasheet"/>
    <hyperlink ref="A302" r:id="rId_hyperlink_601" tooltip="DMN2015UFDE" display="DMN2015UFDE"/>
    <hyperlink ref="B302" r:id="rId_hyperlink_602" tooltip="DMN2015UFDE Datasheet" display="DMN2015UFDE Datasheet"/>
    <hyperlink ref="A303" r:id="rId_hyperlink_603" tooltip="DMN2015UFDF" display="DMN2015UFDF"/>
    <hyperlink ref="B303" r:id="rId_hyperlink_604" tooltip="DMN2015UFDF Datasheet" display="DMN2015UFDF Datasheet"/>
    <hyperlink ref="A304" r:id="rId_hyperlink_605" tooltip="DMN2016LFG" display="DMN2016LFG"/>
    <hyperlink ref="B304" r:id="rId_hyperlink_606" tooltip="DMN2016LFG Datasheet" display="DMN2016LFG Datasheet"/>
    <hyperlink ref="A305" r:id="rId_hyperlink_607" tooltip="DMN2016LHAB" display="DMN2016LHAB"/>
    <hyperlink ref="B305" r:id="rId_hyperlink_608" tooltip="DMN2016LHAB Datasheet" display="DMN2016LHAB Datasheet"/>
    <hyperlink ref="A306" r:id="rId_hyperlink_609" tooltip="DMN2016UFX" display="DMN2016UFX"/>
    <hyperlink ref="B306" r:id="rId_hyperlink_610" tooltip="DMN2016UFX Datasheet" display="DMN2016UFX Datasheet"/>
    <hyperlink ref="A307" r:id="rId_hyperlink_611" tooltip="DMN2016UTS" display="DMN2016UTS"/>
    <hyperlink ref="B307" r:id="rId_hyperlink_612" tooltip="DMN2016UTS Datasheet" display="DMN2016UTS Datasheet"/>
    <hyperlink ref="A308" r:id="rId_hyperlink_613" tooltip="DMN2019UTS" display="DMN2019UTS"/>
    <hyperlink ref="B308" r:id="rId_hyperlink_614" tooltip="DMN2019UTS Datasheet" display="DMN2019UTS Datasheet"/>
    <hyperlink ref="A309" r:id="rId_hyperlink_615" tooltip="DMN2020LSN" display="DMN2020LSN"/>
    <hyperlink ref="B309" r:id="rId_hyperlink_616" tooltip="DMN2020LSN Datasheet" display="DMN2020LSN Datasheet"/>
    <hyperlink ref="A310" r:id="rId_hyperlink_617" tooltip="DMN2020UFCL" display="DMN2020UFCL"/>
    <hyperlink ref="B310" r:id="rId_hyperlink_618" tooltip="DMN2020UFCL Datasheet" display="DMN2020UFCL Datasheet"/>
    <hyperlink ref="A311" r:id="rId_hyperlink_619" tooltip="DMN2022UCA4" display="DMN2022UCA4"/>
    <hyperlink ref="B311" r:id="rId_hyperlink_620" tooltip="DMN2022UCA4 Datasheet" display="DMN2022UCA4 Datasheet"/>
    <hyperlink ref="A312" r:id="rId_hyperlink_621" tooltip="DMN2022UFDF" display="DMN2022UFDF"/>
    <hyperlink ref="B312" r:id="rId_hyperlink_622" tooltip="DMN2022UFDF Datasheet" display="DMN2022UFDF Datasheet"/>
    <hyperlink ref="A313" r:id="rId_hyperlink_623" tooltip="DMN2022UNS" display="DMN2022UNS"/>
    <hyperlink ref="B313" r:id="rId_hyperlink_624" tooltip="DMN2022UNS Datasheet" display="DMN2022UNS Datasheet"/>
    <hyperlink ref="A314" r:id="rId_hyperlink_625" tooltip="DMN2023UCB4" display="DMN2023UCB4"/>
    <hyperlink ref="B314" r:id="rId_hyperlink_626" tooltip="DMN2023UCB4 Datasheet" display="DMN2023UCB4 Datasheet"/>
    <hyperlink ref="A315" r:id="rId_hyperlink_627" tooltip="DMN2024LCA4" display="DMN2024LCA4"/>
    <hyperlink ref="B315" r:id="rId_hyperlink_628" tooltip="DMN2024LCA4 Datasheet" display="DMN2024LCA4 Datasheet"/>
    <hyperlink ref="A316" r:id="rId_hyperlink_629" tooltip="DMN2024U" display="DMN2024U"/>
    <hyperlink ref="B316" r:id="rId_hyperlink_630" tooltip="DMN2024U Datasheet" display="DMN2024U Datasheet"/>
    <hyperlink ref="A317" r:id="rId_hyperlink_631" tooltip="DMN2024UDH" display="DMN2024UDH"/>
    <hyperlink ref="B317" r:id="rId_hyperlink_632" tooltip="DMN2024UDH Datasheet" display="DMN2024UDH Datasheet"/>
    <hyperlink ref="A318" r:id="rId_hyperlink_633" tooltip="DMN2024UFDF" display="DMN2024UFDF"/>
    <hyperlink ref="B318" r:id="rId_hyperlink_634" tooltip="DMN2024UFDF Datasheet" display="DMN2024UFDF Datasheet"/>
    <hyperlink ref="A319" r:id="rId_hyperlink_635" tooltip="DMN2024UFU" display="DMN2024UFU"/>
    <hyperlink ref="B319" r:id="rId_hyperlink_636" tooltip="DMN2024UFU Datasheet" display="DMN2024UFU Datasheet"/>
    <hyperlink ref="A320" r:id="rId_hyperlink_637" tooltip="DMN2024UFX" display="DMN2024UFX"/>
    <hyperlink ref="B320" r:id="rId_hyperlink_638" tooltip="DMN2024UFX Datasheet" display="DMN2024UFX Datasheet"/>
    <hyperlink ref="A321" r:id="rId_hyperlink_639" tooltip="DMN2024UQ" display="DMN2024UQ"/>
    <hyperlink ref="B321" r:id="rId_hyperlink_640" tooltip="DMN2024UQ Datasheet" display="DMN2024UQ Datasheet"/>
    <hyperlink ref="A322" r:id="rId_hyperlink_641" tooltip="DMN2024UTS" display="DMN2024UTS"/>
    <hyperlink ref="B322" r:id="rId_hyperlink_642" tooltip="DMN2024UTS Datasheet" display="DMN2024UTS Datasheet"/>
    <hyperlink ref="A323" r:id="rId_hyperlink_643" tooltip="DMN2024UVT" display="DMN2024UVT"/>
    <hyperlink ref="B323" r:id="rId_hyperlink_644" tooltip="DMN2024UVT Datasheet" display="DMN2024UVT Datasheet"/>
    <hyperlink ref="A324" r:id="rId_hyperlink_645" tooltip="DMN2024UVTQ" display="DMN2024UVTQ"/>
    <hyperlink ref="B324" r:id="rId_hyperlink_646" tooltip="DMN2024UVTQ Datasheet" display="DMN2024UVTQ Datasheet"/>
    <hyperlink ref="A325" r:id="rId_hyperlink_647" tooltip="DMN2025U" display="DMN2025U"/>
    <hyperlink ref="B325" r:id="rId_hyperlink_648" tooltip="DMN2025U Datasheet" display="DMN2025U Datasheet"/>
    <hyperlink ref="A326" r:id="rId_hyperlink_649" tooltip="DMN2025UFDB" display="DMN2025UFDB"/>
    <hyperlink ref="B326" r:id="rId_hyperlink_650" tooltip="DMN2025UFDB Datasheet" display="DMN2025UFDB Datasheet"/>
    <hyperlink ref="A327" r:id="rId_hyperlink_651" tooltip="DMN2025UFDF" display="DMN2025UFDF"/>
    <hyperlink ref="B327" r:id="rId_hyperlink_652" tooltip="DMN2025UFDF Datasheet" display="DMN2025UFDF Datasheet"/>
    <hyperlink ref="A328" r:id="rId_hyperlink_653" tooltip="DMN2026UVT" display="DMN2026UVT"/>
    <hyperlink ref="B328" r:id="rId_hyperlink_654" tooltip="DMN2026UVT Datasheet" display="DMN2026UVT Datasheet"/>
    <hyperlink ref="A329" r:id="rId_hyperlink_655" tooltip="DMN2027UPS" display="DMN2027UPS"/>
    <hyperlink ref="B329" r:id="rId_hyperlink_656" tooltip="DMN2027UPS Datasheet" display="DMN2027UPS Datasheet"/>
    <hyperlink ref="A330" r:id="rId_hyperlink_657" tooltip="DMN2027USS" display="DMN2027USS"/>
    <hyperlink ref="B330" r:id="rId_hyperlink_658" tooltip="DMN2027USS Datasheet" display="DMN2027USS Datasheet"/>
    <hyperlink ref="A331" r:id="rId_hyperlink_659" tooltip="DMN2028UFDF" display="DMN2028UFDF"/>
    <hyperlink ref="B331" r:id="rId_hyperlink_660" tooltip="DMN2028UFDF Datasheet" display="DMN2028UFDF Datasheet"/>
    <hyperlink ref="A332" r:id="rId_hyperlink_661" tooltip="DMN2028UFDH" display="DMN2028UFDH"/>
    <hyperlink ref="B332" r:id="rId_hyperlink_662" tooltip="DMN2028UFDH Datasheet" display="DMN2028UFDH Datasheet"/>
    <hyperlink ref="A333" r:id="rId_hyperlink_663" tooltip="DMN2028UFU" display="DMN2028UFU"/>
    <hyperlink ref="B333" r:id="rId_hyperlink_664" tooltip="DMN2028UFU Datasheet" display="DMN2028UFU Datasheet"/>
    <hyperlink ref="A334" r:id="rId_hyperlink_665" tooltip="DMN2028USS" display="DMN2028USS"/>
    <hyperlink ref="B334" r:id="rId_hyperlink_666" tooltip="DMN2028USS Datasheet" display="DMN2028USS Datasheet"/>
    <hyperlink ref="A335" r:id="rId_hyperlink_667" tooltip="DMN2028UVT" display="DMN2028UVT"/>
    <hyperlink ref="B335" r:id="rId_hyperlink_668" tooltip="DMN2028UVT Datasheet" display="DMN2028UVT Datasheet"/>
    <hyperlink ref="A336" r:id="rId_hyperlink_669" tooltip="DMN2029USD" display="DMN2029USD"/>
    <hyperlink ref="B336" r:id="rId_hyperlink_670" tooltip="DMN2029USD Datasheet" display="DMN2029USD Datasheet"/>
    <hyperlink ref="A337" r:id="rId_hyperlink_671" tooltip="DMN2029UVT" display="DMN2029UVT"/>
    <hyperlink ref="B337" r:id="rId_hyperlink_672" tooltip="DMN2029UVT Datasheet" display="DMN2029UVT Datasheet"/>
    <hyperlink ref="A338" r:id="rId_hyperlink_673" tooltip="DMN2030UCA4" display="DMN2030UCA4"/>
    <hyperlink ref="B338" r:id="rId_hyperlink_674" tooltip="DMN2030UCA4 Datasheet" display="DMN2030UCA4 Datasheet"/>
    <hyperlink ref="A339" r:id="rId_hyperlink_675" tooltip="DMN2036UCB4" display="DMN2036UCB4"/>
    <hyperlink ref="B339" r:id="rId_hyperlink_676" tooltip="DMN2036UCB4 Datasheet" display="DMN2036UCB4 Datasheet"/>
    <hyperlink ref="A340" r:id="rId_hyperlink_677" tooltip="DMN2040LTS" display="DMN2040LTS"/>
    <hyperlink ref="B340" r:id="rId_hyperlink_678" tooltip="DMN2040LTS Datasheet" display="DMN2040LTS Datasheet"/>
    <hyperlink ref="A341" r:id="rId_hyperlink_679" tooltip="DMN2040U" display="DMN2040U"/>
    <hyperlink ref="B341" r:id="rId_hyperlink_680" tooltip="DMN2040U Datasheet" display="DMN2040U Datasheet"/>
    <hyperlink ref="A342" r:id="rId_hyperlink_681" tooltip="DMN2040UQ" display="DMN2040UQ"/>
    <hyperlink ref="B342" r:id="rId_hyperlink_682" tooltip="DMN2040UQ Datasheet" display="DMN2040UQ Datasheet"/>
    <hyperlink ref="A343" r:id="rId_hyperlink_683" tooltip="DMN2040UVT" display="DMN2040UVT"/>
    <hyperlink ref="B343" r:id="rId_hyperlink_684" tooltip="DMN2040UVT Datasheet" display="DMN2040UVT Datasheet"/>
    <hyperlink ref="A344" r:id="rId_hyperlink_685" tooltip="DMN2041LSD" display="DMN2041LSD"/>
    <hyperlink ref="B344" r:id="rId_hyperlink_686" tooltip="DMN2041LSD Datasheet" display="DMN2041LSD Datasheet"/>
    <hyperlink ref="A345" r:id="rId_hyperlink_687" tooltip="DMN2041UFDB" display="DMN2041UFDB"/>
    <hyperlink ref="B345" r:id="rId_hyperlink_688" tooltip="DMN2041UFDB Datasheet" display="DMN2041UFDB Datasheet"/>
    <hyperlink ref="A346" r:id="rId_hyperlink_689" tooltip="DMN2041UVT" display="DMN2041UVT"/>
    <hyperlink ref="B346" r:id="rId_hyperlink_690" tooltip="DMN2041UVT Datasheet" display="DMN2041UVT Datasheet"/>
    <hyperlink ref="A347" r:id="rId_hyperlink_691" tooltip="DMN2044UCB4" display="DMN2044UCB4"/>
    <hyperlink ref="B347" r:id="rId_hyperlink_692" tooltip="DMN2044UCB4 Datasheet" display="DMN2044UCB4 Datasheet"/>
    <hyperlink ref="A348" r:id="rId_hyperlink_693" tooltip="DMN2046U" display="DMN2046U"/>
    <hyperlink ref="B348" r:id="rId_hyperlink_694" tooltip="DMN2046U Datasheet" display="DMN2046U Datasheet"/>
    <hyperlink ref="A349" r:id="rId_hyperlink_695" tooltip="DMN2046UVT" display="DMN2046UVT"/>
    <hyperlink ref="B349" r:id="rId_hyperlink_696" tooltip="DMN2046UVT Datasheet" display="DMN2046UVT Datasheet"/>
    <hyperlink ref="A350" r:id="rId_hyperlink_697" tooltip="DMN2046UW" display="DMN2046UW"/>
    <hyperlink ref="B350" r:id="rId_hyperlink_698" tooltip="DMN2046UW Datasheet" display="DMN2046UW Datasheet"/>
    <hyperlink ref="A351" r:id="rId_hyperlink_699" tooltip="DMN2050L" display="DMN2050L"/>
    <hyperlink ref="B351" r:id="rId_hyperlink_700" tooltip="DMN2050L Datasheet" display="DMN2050L Datasheet"/>
    <hyperlink ref="A352" r:id="rId_hyperlink_701" tooltip="DMN2050LFDB" display="DMN2050LFDB"/>
    <hyperlink ref="B352" r:id="rId_hyperlink_702" tooltip="DMN2050LFDB Datasheet" display="DMN2050LFDB Datasheet"/>
    <hyperlink ref="A353" r:id="rId_hyperlink_703" tooltip="DMN2050LQ" display="DMN2050LQ"/>
    <hyperlink ref="B353" r:id="rId_hyperlink_704" tooltip="DMN2050LQ Datasheet" display="DMN2050LQ Datasheet"/>
    <hyperlink ref="A354" r:id="rId_hyperlink_705" tooltip="DMN2053U" display="DMN2053U"/>
    <hyperlink ref="B354" r:id="rId_hyperlink_706" tooltip="DMN2053U Datasheet" display="DMN2053U Datasheet"/>
    <hyperlink ref="A355" r:id="rId_hyperlink_707" tooltip="DMN2053UFDB" display="DMN2053UFDB"/>
    <hyperlink ref="B355" r:id="rId_hyperlink_708" tooltip="DMN2053UFDB Datasheet" display="DMN2053UFDB Datasheet"/>
    <hyperlink ref="A356" r:id="rId_hyperlink_709" tooltip="DMN2053UFDBQ" display="DMN2053UFDBQ"/>
    <hyperlink ref="B356" r:id="rId_hyperlink_710" tooltip="DMN2053UFDBQ Datasheet" display="DMN2053UFDBQ Datasheet"/>
    <hyperlink ref="A357" r:id="rId_hyperlink_711" tooltip="DMN2053UQ" display="DMN2053UQ"/>
    <hyperlink ref="B357" r:id="rId_hyperlink_712" tooltip="DMN2053UQ Datasheet" display="DMN2053UQ Datasheet"/>
    <hyperlink ref="A358" r:id="rId_hyperlink_713" tooltip="DMN2053UVT" display="DMN2053UVT"/>
    <hyperlink ref="B358" r:id="rId_hyperlink_714" tooltip="DMN2053UVT Datasheet" display="DMN2053UVT Datasheet"/>
    <hyperlink ref="A359" r:id="rId_hyperlink_715" tooltip="DMN2053UVTQ" display="DMN2053UVTQ"/>
    <hyperlink ref="B359" r:id="rId_hyperlink_716" tooltip="DMN2053UVTQ Datasheet" display="DMN2053UVTQ Datasheet"/>
    <hyperlink ref="A360" r:id="rId_hyperlink_717" tooltip="DMN2053UW" display="DMN2053UW"/>
    <hyperlink ref="B360" r:id="rId_hyperlink_718" tooltip="DMN2053UW Datasheet" display="DMN2053UW Datasheet"/>
    <hyperlink ref="A361" r:id="rId_hyperlink_719" tooltip="DMN2053UWQ" display="DMN2053UWQ"/>
    <hyperlink ref="B361" r:id="rId_hyperlink_720" tooltip="DMN2053UWQ Datasheet" display="DMN2053UWQ Datasheet"/>
    <hyperlink ref="A362" r:id="rId_hyperlink_721" tooltip="DMN2055U" display="DMN2055U"/>
    <hyperlink ref="B362" r:id="rId_hyperlink_722" tooltip="DMN2055U Datasheet" display="DMN2055U Datasheet"/>
    <hyperlink ref="A363" r:id="rId_hyperlink_723" tooltip="DMN2055UQ" display="DMN2055UQ"/>
    <hyperlink ref="B363" r:id="rId_hyperlink_724" tooltip="DMN2055UQ Datasheet" display="DMN2055UQ Datasheet"/>
    <hyperlink ref="A364" r:id="rId_hyperlink_725" tooltip="DMN2055UW" display="DMN2055UW"/>
    <hyperlink ref="B364" r:id="rId_hyperlink_726" tooltip="DMN2055UW Datasheet" display="DMN2055UW Datasheet"/>
    <hyperlink ref="A365" r:id="rId_hyperlink_727" tooltip="DMN2055UWQ" display="DMN2055UWQ"/>
    <hyperlink ref="B365" r:id="rId_hyperlink_728" tooltip="DMN2055UWQ Datasheet" display="DMN2055UWQ Datasheet"/>
    <hyperlink ref="A366" r:id="rId_hyperlink_729" tooltip="DMN2056U" display="DMN2056U"/>
    <hyperlink ref="B366" r:id="rId_hyperlink_730" tooltip="DMN2056U Datasheet" display="DMN2056U Datasheet"/>
    <hyperlink ref="A367" r:id="rId_hyperlink_731" tooltip="DMN2058U" display="DMN2058U"/>
    <hyperlink ref="B367" r:id="rId_hyperlink_732" tooltip="DMN2058U Datasheet" display="DMN2058U Datasheet"/>
    <hyperlink ref="A368" r:id="rId_hyperlink_733" tooltip="DMN2058UW" display="DMN2058UW"/>
    <hyperlink ref="B368" r:id="rId_hyperlink_734" tooltip="DMN2058UW Datasheet" display="DMN2058UW Datasheet"/>
    <hyperlink ref="A369" r:id="rId_hyperlink_735" tooltip="DMN2075U" display="DMN2075U"/>
    <hyperlink ref="B369" r:id="rId_hyperlink_736" tooltip="DMN2075U Datasheet" display="DMN2075U Datasheet"/>
    <hyperlink ref="A370" r:id="rId_hyperlink_737" tooltip="DMN2075UDW" display="DMN2075UDW"/>
    <hyperlink ref="B370" r:id="rId_hyperlink_738" tooltip="DMN2075UDW Datasheet" display="DMN2075UDW Datasheet"/>
    <hyperlink ref="A371" r:id="rId_hyperlink_739" tooltip="DMN2080UCB4" display="DMN2080UCB4"/>
    <hyperlink ref="B371" r:id="rId_hyperlink_740" tooltip="DMN2080UCB4 Datasheet" display="DMN2080UCB4 Datasheet"/>
    <hyperlink ref="A372" r:id="rId_hyperlink_741" tooltip="DMN2100UDM" display="DMN2100UDM"/>
    <hyperlink ref="B372" r:id="rId_hyperlink_742" tooltip="DMN2100UDM Datasheet" display="DMN2100UDM Datasheet"/>
    <hyperlink ref="A373" r:id="rId_hyperlink_743" tooltip="DMN2120UFCL" display="DMN2120UFCL"/>
    <hyperlink ref="B373" r:id="rId_hyperlink_744" tooltip="DMN2120UFCL Datasheet" display="DMN2120UFCL Datasheet"/>
    <hyperlink ref="A374" r:id="rId_hyperlink_745" tooltip="DMN21D1UDA" display="DMN21D1UDA"/>
    <hyperlink ref="B374" r:id="rId_hyperlink_746" tooltip="DMN21D1UDA Datasheet" display="DMN21D1UDA Datasheet"/>
    <hyperlink ref="A375" r:id="rId_hyperlink_747" tooltip="DMN21D2UFB" display="DMN21D2UFB"/>
    <hyperlink ref="B375" r:id="rId_hyperlink_748" tooltip="DMN21D2UFB Datasheet" display="DMN21D2UFB Datasheet"/>
    <hyperlink ref="A376" r:id="rId_hyperlink_749" tooltip="DMN2250UFB" display="DMN2250UFB"/>
    <hyperlink ref="B376" r:id="rId_hyperlink_750" tooltip="DMN2250UFB Datasheet" display="DMN2250UFB Datasheet"/>
    <hyperlink ref="A377" r:id="rId_hyperlink_751" tooltip="DMN22M5UCA10" display="DMN22M5UCA10"/>
    <hyperlink ref="B377" r:id="rId_hyperlink_752" tooltip="DMN22M5UCA10 Datasheet" display="DMN22M5UCA10 Datasheet"/>
    <hyperlink ref="A378" r:id="rId_hyperlink_753" tooltip="DMN22M5UFG" display="DMN22M5UFG"/>
    <hyperlink ref="B378" r:id="rId_hyperlink_754" tooltip="DMN22M5UFG Datasheet" display="DMN22M5UFG Datasheet"/>
    <hyperlink ref="A379" r:id="rId_hyperlink_755" tooltip="DMN2300U" display="DMN2300U"/>
    <hyperlink ref="B379" r:id="rId_hyperlink_756" tooltip="DMN2300U Datasheet" display="DMN2300U Datasheet"/>
    <hyperlink ref="A380" r:id="rId_hyperlink_757" tooltip="DMN2300UFB" display="DMN2300UFB"/>
    <hyperlink ref="B380" r:id="rId_hyperlink_758" tooltip="DMN2300UFB Datasheet" display="DMN2300UFB Datasheet"/>
    <hyperlink ref="A381" r:id="rId_hyperlink_759" tooltip="DMN2300UFB4" display="DMN2300UFB4"/>
    <hyperlink ref="B381" r:id="rId_hyperlink_760" tooltip="DMN2300UFB4 Datasheet" display="DMN2300UFB4 Datasheet"/>
    <hyperlink ref="A382" r:id="rId_hyperlink_761" tooltip="DMN2300UFD" display="DMN2300UFD"/>
    <hyperlink ref="B382" r:id="rId_hyperlink_762" tooltip="DMN2300UFD Datasheet" display="DMN2300UFD Datasheet"/>
    <hyperlink ref="A383" r:id="rId_hyperlink_763" tooltip="DMN2300UFL4" display="DMN2300UFL4"/>
    <hyperlink ref="B383" r:id="rId_hyperlink_764" tooltip="DMN2300UFL4 Datasheet" display="DMN2300UFL4 Datasheet"/>
    <hyperlink ref="A384" r:id="rId_hyperlink_765" tooltip="DMN2300UFL4Q" display="DMN2300UFL4Q"/>
    <hyperlink ref="B384" r:id="rId_hyperlink_766" tooltip="DMN2300UFL4Q Datasheet" display="DMN2300UFL4Q Datasheet"/>
    <hyperlink ref="A385" r:id="rId_hyperlink_767" tooltip="DMN2310U" display="DMN2310U"/>
    <hyperlink ref="B385" r:id="rId_hyperlink_768" tooltip="DMN2310U Datasheet" display="DMN2310U Datasheet"/>
    <hyperlink ref="A386" r:id="rId_hyperlink_769" tooltip="DMN2310UFB4" display="DMN2310UFB4"/>
    <hyperlink ref="B386" r:id="rId_hyperlink_770" tooltip="DMN2310UFB4 Datasheet" display="DMN2310UFB4 Datasheet"/>
    <hyperlink ref="A387" r:id="rId_hyperlink_771" tooltip="DMN2310UFD" display="DMN2310UFD"/>
    <hyperlink ref="B387" r:id="rId_hyperlink_772" tooltip="DMN2310UFD Datasheet" display="DMN2310UFD Datasheet"/>
    <hyperlink ref="A388" r:id="rId_hyperlink_773" tooltip="DMN2310UT" display="DMN2310UT"/>
    <hyperlink ref="B388" r:id="rId_hyperlink_774" tooltip="DMN2310UT Datasheet" display="DMN2310UT Datasheet"/>
    <hyperlink ref="A389" r:id="rId_hyperlink_775" tooltip="DMN2310UTQ" display="DMN2310UTQ"/>
    <hyperlink ref="B389" r:id="rId_hyperlink_776" tooltip="DMN2310UTQ Datasheet" display="DMN2310UTQ Datasheet"/>
    <hyperlink ref="A390" r:id="rId_hyperlink_777" tooltip="DMN2310UW" display="DMN2310UW"/>
    <hyperlink ref="B390" r:id="rId_hyperlink_778" tooltip="DMN2310UW Datasheet" display="DMN2310UW Datasheet"/>
    <hyperlink ref="A391" r:id="rId_hyperlink_779" tooltip="DMN2310UWQ" display="DMN2310UWQ"/>
    <hyperlink ref="B391" r:id="rId_hyperlink_780" tooltip="DMN2310UWQ Datasheet" display="DMN2310UWQ Datasheet"/>
    <hyperlink ref="A392" r:id="rId_hyperlink_781" tooltip="DMN2320UFB4" display="DMN2320UFB4"/>
    <hyperlink ref="B392" r:id="rId_hyperlink_782" tooltip="DMN2320UFB4 Datasheet" display="DMN2320UFB4 Datasheet"/>
    <hyperlink ref="A393" r:id="rId_hyperlink_783" tooltip="DMN2400UFB" display="DMN2400UFB"/>
    <hyperlink ref="B393" r:id="rId_hyperlink_784" tooltip="DMN2400UFB Datasheet" display="DMN2400UFB Datasheet"/>
    <hyperlink ref="A394" r:id="rId_hyperlink_785" tooltip="DMN2400UV" display="DMN2400UV"/>
    <hyperlink ref="B394" r:id="rId_hyperlink_786" tooltip="DMN2400UV Datasheet" display="DMN2400UV Datasheet"/>
    <hyperlink ref="A395" r:id="rId_hyperlink_787" tooltip="DMN2450UFB4" display="DMN2450UFB4"/>
    <hyperlink ref="B395" r:id="rId_hyperlink_788" tooltip="DMN2450UFB4 Datasheet" display="DMN2450UFB4 Datasheet"/>
    <hyperlink ref="A396" r:id="rId_hyperlink_789" tooltip="DMN2450UFB4Q" display="DMN2450UFB4Q"/>
    <hyperlink ref="B396" r:id="rId_hyperlink_790" tooltip="DMN2450UFB4Q Datasheet" display="DMN2450UFB4Q Datasheet"/>
    <hyperlink ref="A397" r:id="rId_hyperlink_791" tooltip="DMN2450UFD" display="DMN2450UFD"/>
    <hyperlink ref="B397" r:id="rId_hyperlink_792" tooltip="DMN2450UFD Datasheet" display="DMN2450UFD Datasheet"/>
    <hyperlink ref="A398" r:id="rId_hyperlink_793" tooltip="DMN2451UFB4" display="DMN2451UFB4"/>
    <hyperlink ref="B398" r:id="rId_hyperlink_794" tooltip="DMN2451UFB4 Datasheet" display="DMN2451UFB4 Datasheet"/>
    <hyperlink ref="A399" r:id="rId_hyperlink_795" tooltip="DMN2451UFB4Q" display="DMN2451UFB4Q"/>
    <hyperlink ref="B399" r:id="rId_hyperlink_796" tooltip="DMN2451UFB4Q Datasheet" display="DMN2451UFB4Q Datasheet"/>
    <hyperlink ref="A400" r:id="rId_hyperlink_797" tooltip="DMN2451UFDQ" display="DMN2451UFDQ"/>
    <hyperlink ref="B400" r:id="rId_hyperlink_798" tooltip="DMN2451UFDQ Datasheet" display="DMN2451UFDQ Datasheet"/>
    <hyperlink ref="A401" r:id="rId_hyperlink_799" tooltip="DMN24H11DS" display="DMN24H11DS"/>
    <hyperlink ref="B401" r:id="rId_hyperlink_800" tooltip="DMN24H11DS Datasheet" display="DMN24H11DS Datasheet"/>
    <hyperlink ref="A402" r:id="rId_hyperlink_801" tooltip="DMN24H11DSQ" display="DMN24H11DSQ"/>
    <hyperlink ref="B402" r:id="rId_hyperlink_802" tooltip="DMN24H11DSQ Datasheet" display="DMN24H11DSQ Datasheet"/>
    <hyperlink ref="A403" r:id="rId_hyperlink_803" tooltip="DMN24H3D5L" display="DMN24H3D5L"/>
    <hyperlink ref="B403" r:id="rId_hyperlink_804" tooltip="DMN24H3D5L Datasheet" display="DMN24H3D5L Datasheet"/>
    <hyperlink ref="A404" r:id="rId_hyperlink_805" tooltip="DMN2501UFB4" display="DMN2501UFB4"/>
    <hyperlink ref="B404" r:id="rId_hyperlink_806" tooltip="DMN2501UFB4 Datasheet" display="DMN2501UFB4 Datasheet"/>
    <hyperlink ref="A405" r:id="rId_hyperlink_807" tooltip="DMN2550UFA" display="DMN2550UFA"/>
    <hyperlink ref="B405" r:id="rId_hyperlink_808" tooltip="DMN2550UFA Datasheet" display="DMN2550UFA Datasheet"/>
    <hyperlink ref="A406" r:id="rId_hyperlink_809" tooltip="DMN25D0UFA" display="DMN25D0UFA"/>
    <hyperlink ref="B406" r:id="rId_hyperlink_810" tooltip="DMN25D0UFA Datasheet" display="DMN25D0UFA Datasheet"/>
    <hyperlink ref="A407" r:id="rId_hyperlink_811" tooltip="DMN2600UFB" display="DMN2600UFB"/>
    <hyperlink ref="B407" r:id="rId_hyperlink_812" tooltip="DMN2600UFB Datasheet" display="DMN2600UFB Datasheet"/>
    <hyperlink ref="A408" r:id="rId_hyperlink_813" tooltip="DMN26D0UT" display="DMN26D0UT"/>
    <hyperlink ref="B408" r:id="rId_hyperlink_814" tooltip="DMN26D0UT Datasheet" display="DMN26D0UT Datasheet"/>
    <hyperlink ref="A409" r:id="rId_hyperlink_815" tooltip="DMN2710UDW" display="DMN2710UDW"/>
    <hyperlink ref="B409" r:id="rId_hyperlink_816" tooltip="DMN2710UDW Datasheet" display="DMN2710UDW Datasheet"/>
    <hyperlink ref="A410" r:id="rId_hyperlink_817" tooltip="DMN2710UDWQ" display="DMN2710UDWQ"/>
    <hyperlink ref="B410" r:id="rId_hyperlink_818" tooltip="DMN2710UDWQ Datasheet" display="DMN2710UDWQ Datasheet"/>
    <hyperlink ref="A411" r:id="rId_hyperlink_819" tooltip="DMN2710UFB" display="DMN2710UFB"/>
    <hyperlink ref="B411" r:id="rId_hyperlink_820" tooltip="DMN2710UFB Datasheet" display="DMN2710UFB Datasheet"/>
    <hyperlink ref="A412" r:id="rId_hyperlink_821" tooltip="DMN2710UFBQ" display="DMN2710UFBQ"/>
    <hyperlink ref="B412" r:id="rId_hyperlink_822" tooltip="DMN2710UFBQ Datasheet" display="DMN2710UFBQ Datasheet"/>
    <hyperlink ref="A413" r:id="rId_hyperlink_823" tooltip="DMN2710UT" display="DMN2710UT"/>
    <hyperlink ref="B413" r:id="rId_hyperlink_824" tooltip="DMN2710UT Datasheet" display="DMN2710UT Datasheet"/>
    <hyperlink ref="A414" r:id="rId_hyperlink_825" tooltip="DMN2710UTQ" display="DMN2710UTQ"/>
    <hyperlink ref="B414" r:id="rId_hyperlink_826" tooltip="DMN2710UTQ Datasheet" display="DMN2710UTQ Datasheet"/>
    <hyperlink ref="A415" r:id="rId_hyperlink_827" tooltip="DMN2710UV" display="DMN2710UV"/>
    <hyperlink ref="B415" r:id="rId_hyperlink_828" tooltip="DMN2710UV Datasheet" display="DMN2710UV Datasheet"/>
    <hyperlink ref="A416" r:id="rId_hyperlink_829" tooltip="DMN2710UVQ" display="DMN2710UVQ"/>
    <hyperlink ref="B416" r:id="rId_hyperlink_830" tooltip="DMN2710UVQ Datasheet" display="DMN2710UVQ Datasheet"/>
    <hyperlink ref="A417" r:id="rId_hyperlink_831" tooltip="DMN2710UW" display="DMN2710UW"/>
    <hyperlink ref="B417" r:id="rId_hyperlink_832" tooltip="DMN2710UW Datasheet" display="DMN2710UW Datasheet"/>
    <hyperlink ref="A418" r:id="rId_hyperlink_833" tooltip="DMN2710UWQ" display="DMN2710UWQ"/>
    <hyperlink ref="B418" r:id="rId_hyperlink_834" tooltip="DMN2710UWQ Datasheet" display="DMN2710UWQ Datasheet"/>
    <hyperlink ref="A419" r:id="rId_hyperlink_835" tooltip="DMN2990UDJ" display="DMN2990UDJ"/>
    <hyperlink ref="B419" r:id="rId_hyperlink_836" tooltip="DMN2990UDJ Datasheet" display="DMN2990UDJ Datasheet"/>
    <hyperlink ref="A420" r:id="rId_hyperlink_837" tooltip="DMN2990UDJQ" display="DMN2990UDJQ"/>
    <hyperlink ref="B420" r:id="rId_hyperlink_838" tooltip="DMN2990UDJQ Datasheet" display="DMN2990UDJQ Datasheet"/>
    <hyperlink ref="A421" r:id="rId_hyperlink_839" tooltip="DMN2990UFA" display="DMN2990UFA"/>
    <hyperlink ref="B421" r:id="rId_hyperlink_840" tooltip="DMN2990UFA Datasheet" display="DMN2990UFA Datasheet"/>
    <hyperlink ref="A422" r:id="rId_hyperlink_841" tooltip="DMN2990UFB" display="DMN2990UFB"/>
    <hyperlink ref="B422" r:id="rId_hyperlink_842" tooltip="DMN2990UFB Datasheet" display="DMN2990UFB Datasheet"/>
    <hyperlink ref="A423" r:id="rId_hyperlink_843" tooltip="DMN2990UFO" display="DMN2990UFO"/>
    <hyperlink ref="B423" r:id="rId_hyperlink_844" tooltip="DMN2990UFO Datasheet" display="DMN2990UFO Datasheet"/>
    <hyperlink ref="A424" r:id="rId_hyperlink_845" tooltip="DMN2990UFZ" display="DMN2990UFZ"/>
    <hyperlink ref="B424" r:id="rId_hyperlink_846" tooltip="DMN2990UFZ Datasheet" display="DMN2990UFZ Datasheet"/>
    <hyperlink ref="A425" r:id="rId_hyperlink_847" tooltip="DMN2991UDA" display="DMN2991UDA"/>
    <hyperlink ref="B425" r:id="rId_hyperlink_848" tooltip="DMN2991UDA Datasheet" display="DMN2991UDA Datasheet"/>
    <hyperlink ref="A426" r:id="rId_hyperlink_849" tooltip="DMN2991UDJ" display="DMN2991UDJ"/>
    <hyperlink ref="B426" r:id="rId_hyperlink_850" tooltip="DMN2991UDJ Datasheet" display="DMN2991UDJ Datasheet"/>
    <hyperlink ref="A427" r:id="rId_hyperlink_851" tooltip="DMN2991UDR4" display="DMN2991UDR4"/>
    <hyperlink ref="B427" r:id="rId_hyperlink_852" tooltip="DMN2991UDR4 Datasheet" display="DMN2991UDR4 Datasheet"/>
    <hyperlink ref="A428" r:id="rId_hyperlink_853" tooltip="DMN2991UFA" display="DMN2991UFA"/>
    <hyperlink ref="B428" r:id="rId_hyperlink_854" tooltip="DMN2991UFA Datasheet" display="DMN2991UFA Datasheet"/>
    <hyperlink ref="A429" r:id="rId_hyperlink_855" tooltip="DMN2991UFB4" display="DMN2991UFB4"/>
    <hyperlink ref="B429" r:id="rId_hyperlink_856" tooltip="DMN2991UFB4 Datasheet" display="DMN2991UFB4 Datasheet"/>
    <hyperlink ref="A430" r:id="rId_hyperlink_857" tooltip="DMN2991UFB4Q" display="DMN2991UFB4Q"/>
    <hyperlink ref="B430" r:id="rId_hyperlink_858" tooltip="DMN2991UFB4Q Datasheet" display="DMN2991UFB4Q Datasheet"/>
    <hyperlink ref="A431" r:id="rId_hyperlink_859" tooltip="DMN2991UFO" display="DMN2991UFO"/>
    <hyperlink ref="B431" r:id="rId_hyperlink_860" tooltip="DMN2991UFO Datasheet" display="DMN2991UFO Datasheet"/>
    <hyperlink ref="A432" r:id="rId_hyperlink_861" tooltip="DMN2991UFZ" display="DMN2991UFZ"/>
    <hyperlink ref="B432" r:id="rId_hyperlink_862" tooltip="DMN2991UFZ Datasheet" display="DMN2991UFZ Datasheet"/>
    <hyperlink ref="A433" r:id="rId_hyperlink_863" tooltip="DMN2991UFZQ" display="DMN2991UFZQ"/>
    <hyperlink ref="B433" r:id="rId_hyperlink_864" tooltip="DMN2991UFZQ Datasheet" display="DMN2991UFZQ Datasheet"/>
    <hyperlink ref="A434" r:id="rId_hyperlink_865" tooltip="DMN2991UT" display="DMN2991UT"/>
    <hyperlink ref="B434" r:id="rId_hyperlink_866" tooltip="DMN2991UT Datasheet" display="DMN2991UT Datasheet"/>
    <hyperlink ref="A435" r:id="rId_hyperlink_867" tooltip="DMN2991UTQ" display="DMN2991UTQ"/>
    <hyperlink ref="B435" r:id="rId_hyperlink_868" tooltip="DMN2991UTQ Datasheet" display="DMN2991UTQ Datasheet"/>
    <hyperlink ref="A436" r:id="rId_hyperlink_869" tooltip="DMN2992UFB4" display="DMN2992UFB4"/>
    <hyperlink ref="B436" r:id="rId_hyperlink_870" tooltip="DMN2992UFB4 Datasheet" display="DMN2992UFB4 Datasheet"/>
    <hyperlink ref="A437" r:id="rId_hyperlink_871" tooltip="DMN2992UFB4Q" display="DMN2992UFB4Q"/>
    <hyperlink ref="B437" r:id="rId_hyperlink_872" tooltip="DMN2992UFB4Q Datasheet" display="DMN2992UFB4Q Datasheet"/>
    <hyperlink ref="A438" r:id="rId_hyperlink_873" tooltip="DMN2992UFZ" display="DMN2992UFZ"/>
    <hyperlink ref="B438" r:id="rId_hyperlink_874" tooltip="DMN2992UFZ Datasheet" display="DMN2992UFZ Datasheet"/>
    <hyperlink ref="A439" r:id="rId_hyperlink_875" tooltip="DMN29M9UFDF" display="DMN29M9UFDF"/>
    <hyperlink ref="B439" r:id="rId_hyperlink_876" tooltip="DMN29M9UFDF Datasheet" display="DMN29M9UFDF Datasheet"/>
    <hyperlink ref="A440" r:id="rId_hyperlink_877" tooltip="DMN3006SCA6" display="DMN3006SCA6"/>
    <hyperlink ref="B440" r:id="rId_hyperlink_878" tooltip="DMN3006SCA6 Datasheet" display="DMN3006SCA6 Datasheet"/>
    <hyperlink ref="A441" r:id="rId_hyperlink_879" tooltip="DMN3007LSS" display="DMN3007LSS"/>
    <hyperlink ref="B441" r:id="rId_hyperlink_880" tooltip="DMN3007LSS Datasheet" display="DMN3007LSS Datasheet"/>
    <hyperlink ref="A442" r:id="rId_hyperlink_881" tooltip="DMN3007LSSQ" display="DMN3007LSSQ"/>
    <hyperlink ref="B442" r:id="rId_hyperlink_882" tooltip="DMN3007LSSQ Datasheet" display="DMN3007LSSQ Datasheet"/>
    <hyperlink ref="A443" r:id="rId_hyperlink_883" tooltip="DMN3008SCP10" display="DMN3008SCP10"/>
    <hyperlink ref="B443" r:id="rId_hyperlink_884" tooltip="DMN3008SCP10 Datasheet" display="DMN3008SCP10 Datasheet"/>
    <hyperlink ref="A444" r:id="rId_hyperlink_885" tooltip="DMN3008SFG" display="DMN3008SFG"/>
    <hyperlink ref="B444" r:id="rId_hyperlink_886" tooltip="DMN3008SFG Datasheet" display="DMN3008SFG Datasheet"/>
    <hyperlink ref="A445" r:id="rId_hyperlink_887" tooltip="DMN3008SFGQ" display="DMN3008SFGQ"/>
    <hyperlink ref="B445" r:id="rId_hyperlink_888" tooltip="DMN3008SFGQ Datasheet" display="DMN3008SFGQ Datasheet"/>
    <hyperlink ref="A446" r:id="rId_hyperlink_889" tooltip="DMN3009LFV" display="DMN3009LFV"/>
    <hyperlink ref="B446" r:id="rId_hyperlink_890" tooltip="DMN3009LFV Datasheet" display="DMN3009LFV Datasheet"/>
    <hyperlink ref="A447" r:id="rId_hyperlink_891" tooltip="DMN3009LFVQ" display="DMN3009LFVQ"/>
    <hyperlink ref="B447" r:id="rId_hyperlink_892" tooltip="DMN3009LFVQ Datasheet" display="DMN3009LFVQ Datasheet"/>
    <hyperlink ref="A448" r:id="rId_hyperlink_893" tooltip="DMN3009LFVW" display="DMN3009LFVW"/>
    <hyperlink ref="B448" r:id="rId_hyperlink_894" tooltip="DMN3009LFVW Datasheet" display="DMN3009LFVW Datasheet"/>
    <hyperlink ref="A449" r:id="rId_hyperlink_895" tooltip="DMN3009LFVWQ" display="DMN3009LFVWQ"/>
    <hyperlink ref="B449" r:id="rId_hyperlink_896" tooltip="DMN3009LFVWQ Datasheet" display="DMN3009LFVWQ Datasheet"/>
    <hyperlink ref="A450" r:id="rId_hyperlink_897" tooltip="DMN3009SFG" display="DMN3009SFG"/>
    <hyperlink ref="B450" r:id="rId_hyperlink_898" tooltip="DMN3009SFG Datasheet" display="DMN3009SFG Datasheet"/>
    <hyperlink ref="A451" r:id="rId_hyperlink_899" tooltip="DMN3009SFGQ" display="DMN3009SFGQ"/>
    <hyperlink ref="B451" r:id="rId_hyperlink_900" tooltip="DMN3009SFGQ Datasheet" display="DMN3009SFGQ Datasheet"/>
    <hyperlink ref="A452" r:id="rId_hyperlink_901" tooltip="DMN3009SK3" display="DMN3009SK3"/>
    <hyperlink ref="B452" r:id="rId_hyperlink_902" tooltip="DMN3009SK3 Datasheet" display="DMN3009SK3 Datasheet"/>
    <hyperlink ref="A453" r:id="rId_hyperlink_903" tooltip="DMN3009SSS" display="DMN3009SSS"/>
    <hyperlink ref="B453" r:id="rId_hyperlink_904" tooltip="DMN3009SSS Datasheet" display="DMN3009SSS Datasheet"/>
    <hyperlink ref="A454" r:id="rId_hyperlink_905" tooltip="DMN3010LFG" display="DMN3010LFG"/>
    <hyperlink ref="B454" r:id="rId_hyperlink_906" tooltip="DMN3010LFG Datasheet" display="DMN3010LFG Datasheet"/>
    <hyperlink ref="A455" r:id="rId_hyperlink_907" tooltip="DMN3010LK3" display="DMN3010LK3"/>
    <hyperlink ref="B455" r:id="rId_hyperlink_908" tooltip="DMN3010LK3 Datasheet" display="DMN3010LK3 Datasheet"/>
    <hyperlink ref="A456" r:id="rId_hyperlink_909" tooltip="DMN3010LSS" display="DMN3010LSS"/>
    <hyperlink ref="B456" r:id="rId_hyperlink_910" tooltip="DMN3010LSS Datasheet" display="DMN3010LSS Datasheet"/>
    <hyperlink ref="A457" r:id="rId_hyperlink_911" tooltip="DMN3011LSS" display="DMN3011LSS"/>
    <hyperlink ref="B457" r:id="rId_hyperlink_912" tooltip="DMN3011LSS Datasheet" display="DMN3011LSS Datasheet"/>
    <hyperlink ref="A458" r:id="rId_hyperlink_913" tooltip="DMN3011LSSQ" display="DMN3011LSSQ"/>
    <hyperlink ref="B458" r:id="rId_hyperlink_914" tooltip="DMN3011LSSQ Datasheet" display="DMN3011LSSQ Datasheet"/>
    <hyperlink ref="A459" r:id="rId_hyperlink_915" tooltip="DMN3012LEG" display="DMN3012LEG"/>
    <hyperlink ref="B459" r:id="rId_hyperlink_916" tooltip="DMN3012LEG Datasheet" display="DMN3012LEG Datasheet"/>
    <hyperlink ref="A460" r:id="rId_hyperlink_917" tooltip="DMN3012LFG" display="DMN3012LFG"/>
    <hyperlink ref="B460" r:id="rId_hyperlink_918" tooltip="DMN3012LFG Datasheet" display="DMN3012LFG Datasheet"/>
    <hyperlink ref="A461" r:id="rId_hyperlink_919" tooltip="DMN3013LDG" display="DMN3013LDG"/>
    <hyperlink ref="B461" r:id="rId_hyperlink_920" tooltip="DMN3013LDG Datasheet" display="DMN3013LDG Datasheet"/>
    <hyperlink ref="A462" r:id="rId_hyperlink_921" tooltip="DMN3013LFG" display="DMN3013LFG"/>
    <hyperlink ref="B462" r:id="rId_hyperlink_922" tooltip="DMN3013LFG Datasheet" display="DMN3013LFG Datasheet"/>
    <hyperlink ref="A463" r:id="rId_hyperlink_923" tooltip="DMN3015LSD" display="DMN3015LSD"/>
    <hyperlink ref="B463" r:id="rId_hyperlink_924" tooltip="DMN3015LSD Datasheet" display="DMN3015LSD Datasheet"/>
    <hyperlink ref="A464" r:id="rId_hyperlink_925" tooltip="DMN3016LDN" display="DMN3016LDN"/>
    <hyperlink ref="B464" r:id="rId_hyperlink_926" tooltip="DMN3016LDN Datasheet" display="DMN3016LDN Datasheet"/>
    <hyperlink ref="A465" r:id="rId_hyperlink_927" tooltip="DMN3016LDV" display="DMN3016LDV"/>
    <hyperlink ref="B465" r:id="rId_hyperlink_928" tooltip="DMN3016LDV Datasheet" display="DMN3016LDV Datasheet"/>
    <hyperlink ref="A466" r:id="rId_hyperlink_929" tooltip="DMN3016LFDE" display="DMN3016LFDE"/>
    <hyperlink ref="B466" r:id="rId_hyperlink_930" tooltip="DMN3016LFDE Datasheet" display="DMN3016LFDE Datasheet"/>
    <hyperlink ref="A467" r:id="rId_hyperlink_931" tooltip="DMN3016LFDF" display="DMN3016LFDF"/>
    <hyperlink ref="B467" r:id="rId_hyperlink_932" tooltip="DMN3016LFDF Datasheet" display="DMN3016LFDF Datasheet"/>
    <hyperlink ref="A468" r:id="rId_hyperlink_933" tooltip="DMN3016LFDFQ" display="DMN3016LFDFQ"/>
    <hyperlink ref="B468" r:id="rId_hyperlink_934" tooltip="DMN3016LFDFQ Datasheet" display="DMN3016LFDFQ Datasheet"/>
    <hyperlink ref="A469" r:id="rId_hyperlink_935" tooltip="DMN3016LK3" display="DMN3016LK3"/>
    <hyperlink ref="B469" r:id="rId_hyperlink_936" tooltip="DMN3016LK3 Datasheet" display="DMN3016LK3 Datasheet"/>
    <hyperlink ref="A470" r:id="rId_hyperlink_937" tooltip="DMN3016LPS" display="DMN3016LPS"/>
    <hyperlink ref="B470" r:id="rId_hyperlink_938" tooltip="DMN3016LPS Datasheet" display="DMN3016LPS Datasheet"/>
    <hyperlink ref="A471" r:id="rId_hyperlink_939" tooltip="DMN3016LSS" display="DMN3016LSS"/>
    <hyperlink ref="B471" r:id="rId_hyperlink_940" tooltip="DMN3016LSS Datasheet" display="DMN3016LSS Datasheet"/>
    <hyperlink ref="A472" r:id="rId_hyperlink_941" tooltip="DMN3018SFG" display="DMN3018SFG"/>
    <hyperlink ref="B472" r:id="rId_hyperlink_942" tooltip="DMN3018SFG Datasheet" display="DMN3018SFG Datasheet"/>
    <hyperlink ref="A473" r:id="rId_hyperlink_943" tooltip="DMN3018SSD" display="DMN3018SSD"/>
    <hyperlink ref="B473" r:id="rId_hyperlink_944" tooltip="DMN3018SSD Datasheet" display="DMN3018SSD Datasheet"/>
    <hyperlink ref="A474" r:id="rId_hyperlink_945" tooltip="DMN3018SSS" display="DMN3018SSS"/>
    <hyperlink ref="B474" r:id="rId_hyperlink_946" tooltip="DMN3018SSS Datasheet" display="DMN3018SSS Datasheet"/>
    <hyperlink ref="A475" r:id="rId_hyperlink_947" tooltip="DMN3020UFDF" display="DMN3020UFDF"/>
    <hyperlink ref="B475" r:id="rId_hyperlink_948" tooltip="DMN3020UFDF Datasheet" display="DMN3020UFDF Datasheet"/>
    <hyperlink ref="A476" r:id="rId_hyperlink_949" tooltip="DMN3020UFDFQ" display="DMN3020UFDFQ"/>
    <hyperlink ref="B476" r:id="rId_hyperlink_950" tooltip="DMN3020UFDFQ Datasheet" display="DMN3020UFDFQ Datasheet"/>
    <hyperlink ref="A477" r:id="rId_hyperlink_951" tooltip="DMN3020UTS" display="DMN3020UTS"/>
    <hyperlink ref="B477" r:id="rId_hyperlink_952" tooltip="DMN3020UTS Datasheet" display="DMN3020UTS Datasheet"/>
    <hyperlink ref="A478" r:id="rId_hyperlink_953" tooltip="DMN3021LFDF" display="DMN3021LFDF"/>
    <hyperlink ref="B478" r:id="rId_hyperlink_954" tooltip="DMN3021LFDF Datasheet" display="DMN3021LFDF Datasheet"/>
    <hyperlink ref="A479" r:id="rId_hyperlink_955" tooltip="DMN3022LDG" display="DMN3022LDG"/>
    <hyperlink ref="B479" r:id="rId_hyperlink_956" tooltip="DMN3022LDG Datasheet" display="DMN3022LDG Datasheet"/>
    <hyperlink ref="A480" r:id="rId_hyperlink_957" tooltip="DMN3022LFG" display="DMN3022LFG"/>
    <hyperlink ref="B480" r:id="rId_hyperlink_958" tooltip="DMN3022LFG Datasheet" display="DMN3022LFG Datasheet"/>
    <hyperlink ref="A481" r:id="rId_hyperlink_959" tooltip="DMN3023L" display="DMN3023L"/>
    <hyperlink ref="B481" r:id="rId_hyperlink_960" tooltip="DMN3023L Datasheet" display="DMN3023L Datasheet"/>
    <hyperlink ref="A482" r:id="rId_hyperlink_961" tooltip="DMN3024LK3" display="DMN3024LK3"/>
    <hyperlink ref="B482" r:id="rId_hyperlink_962" tooltip="DMN3024LK3 Datasheet" display="DMN3024LK3 Datasheet"/>
    <hyperlink ref="A483" r:id="rId_hyperlink_963" tooltip="DMN3024LSD" display="DMN3024LSD"/>
    <hyperlink ref="B483" r:id="rId_hyperlink_964" tooltip="DMN3024LSD Datasheet" display="DMN3024LSD Datasheet"/>
    <hyperlink ref="A484" r:id="rId_hyperlink_965" tooltip="DMN3024LSS" display="DMN3024LSS"/>
    <hyperlink ref="B484" r:id="rId_hyperlink_966" tooltip="DMN3024LSS Datasheet" display="DMN3024LSS Datasheet"/>
    <hyperlink ref="A485" r:id="rId_hyperlink_967" tooltip="DMN3024SFG" display="DMN3024SFG"/>
    <hyperlink ref="B485" r:id="rId_hyperlink_968" tooltip="DMN3024SFG Datasheet" display="DMN3024SFG Datasheet"/>
    <hyperlink ref="A486" r:id="rId_hyperlink_969" tooltip="DMN3025LFDF" display="DMN3025LFDF"/>
    <hyperlink ref="B486" r:id="rId_hyperlink_970" tooltip="DMN3025LFDF Datasheet" display="DMN3025LFDF Datasheet"/>
    <hyperlink ref="A487" r:id="rId_hyperlink_971" tooltip="DMN3025LFG" display="DMN3025LFG"/>
    <hyperlink ref="B487" r:id="rId_hyperlink_972" tooltip="DMN3025LFG Datasheet" display="DMN3025LFG Datasheet"/>
    <hyperlink ref="A488" r:id="rId_hyperlink_973" tooltip="DMN3025LFV" display="DMN3025LFV"/>
    <hyperlink ref="B488" r:id="rId_hyperlink_974" tooltip="DMN3025LFV Datasheet" display="DMN3025LFV Datasheet"/>
    <hyperlink ref="A489" r:id="rId_hyperlink_975" tooltip="DMN3025LSS" display="DMN3025LSS"/>
    <hyperlink ref="B489" r:id="rId_hyperlink_976" tooltip="DMN3025LSS Datasheet" display="DMN3025LSS Datasheet"/>
    <hyperlink ref="A490" r:id="rId_hyperlink_977" tooltip="DMN3026LVT" display="DMN3026LVT"/>
    <hyperlink ref="B490" r:id="rId_hyperlink_978" tooltip="DMN3026LVT Datasheet" display="DMN3026LVT Datasheet"/>
    <hyperlink ref="A491" r:id="rId_hyperlink_979" tooltip="DMN3026LVTQ" display="DMN3026LVTQ"/>
    <hyperlink ref="B491" r:id="rId_hyperlink_980" tooltip="DMN3026LVTQ Datasheet" display="DMN3026LVTQ Datasheet"/>
    <hyperlink ref="A492" r:id="rId_hyperlink_981" tooltip="DMN3027LFG" display="DMN3027LFG"/>
    <hyperlink ref="B492" r:id="rId_hyperlink_982" tooltip="DMN3027LFG Datasheet" display="DMN3027LFG Datasheet"/>
    <hyperlink ref="A493" r:id="rId_hyperlink_983" tooltip="DMN3028L" display="DMN3028L"/>
    <hyperlink ref="B493" r:id="rId_hyperlink_984" tooltip="DMN3028L Datasheet" display="DMN3028L Datasheet"/>
    <hyperlink ref="A494" r:id="rId_hyperlink_985" tooltip="DMN3028LQ" display="DMN3028LQ"/>
    <hyperlink ref="B494" r:id="rId_hyperlink_986" tooltip="DMN3028LQ Datasheet" display="DMN3028LQ Datasheet"/>
    <hyperlink ref="A495" r:id="rId_hyperlink_987" tooltip="DMN3029LFG" display="DMN3029LFG"/>
    <hyperlink ref="B495" r:id="rId_hyperlink_988" tooltip="DMN3029LFG Datasheet" display="DMN3029LFG Datasheet"/>
    <hyperlink ref="A496" r:id="rId_hyperlink_989" tooltip="DMN3030LSS" display="DMN3030LSS"/>
    <hyperlink ref="B496" r:id="rId_hyperlink_990" tooltip="DMN3030LSS Datasheet" display="DMN3030LSS Datasheet"/>
    <hyperlink ref="A497" r:id="rId_hyperlink_991" tooltip="DMN3032L" display="DMN3032L"/>
    <hyperlink ref="B497" r:id="rId_hyperlink_992" tooltip="DMN3032L Datasheet" display="DMN3032L Datasheet"/>
    <hyperlink ref="A498" r:id="rId_hyperlink_993" tooltip="DMN3032LE" display="DMN3032LE"/>
    <hyperlink ref="B498" r:id="rId_hyperlink_994" tooltip="DMN3032LE Datasheet" display="DMN3032LE Datasheet"/>
    <hyperlink ref="A499" r:id="rId_hyperlink_995" tooltip="DMN3032LFDB" display="DMN3032LFDB"/>
    <hyperlink ref="B499" r:id="rId_hyperlink_996" tooltip="DMN3032LFDB Datasheet" display="DMN3032LFDB Datasheet"/>
    <hyperlink ref="A500" r:id="rId_hyperlink_997" tooltip="DMN3032LFDBQ" display="DMN3032LFDBQ"/>
    <hyperlink ref="B500" r:id="rId_hyperlink_998" tooltip="DMN3032LFDBQ Datasheet" display="DMN3032LFDBQ Datasheet"/>
    <hyperlink ref="A501" r:id="rId_hyperlink_999" tooltip="DMN3032LFDBWQ" display="DMN3032LFDBWQ"/>
    <hyperlink ref="B501" r:id="rId_hyperlink_1000" tooltip="DMN3032LFDBWQ Datasheet" display="DMN3032LFDBWQ Datasheet"/>
    <hyperlink ref="A502" r:id="rId_hyperlink_1001" tooltip="DMN3032LQ" display="DMN3032LQ"/>
    <hyperlink ref="B502" r:id="rId_hyperlink_1002" tooltip="DMN3032LQ Datasheet" display="DMN3032LQ Datasheet"/>
    <hyperlink ref="A503" r:id="rId_hyperlink_1003" tooltip="DMN3033LDM" display="DMN3033LDM"/>
    <hyperlink ref="B503" r:id="rId_hyperlink_1004" tooltip="DMN3033LDM Datasheet" display="DMN3033LDM Datasheet"/>
    <hyperlink ref="A504" r:id="rId_hyperlink_1005" tooltip="DMN3033LSD" display="DMN3033LSD"/>
    <hyperlink ref="B504" r:id="rId_hyperlink_1006" tooltip="DMN3033LSD Datasheet" display="DMN3033LSD Datasheet"/>
    <hyperlink ref="A505" r:id="rId_hyperlink_1007" tooltip="DMN3033LSDQ" display="DMN3033LSDQ"/>
    <hyperlink ref="B505" r:id="rId_hyperlink_1008" tooltip="DMN3033LSDQ Datasheet" display="DMN3033LSDQ Datasheet"/>
    <hyperlink ref="A506" r:id="rId_hyperlink_1009" tooltip="DMN3033LSN" display="DMN3033LSN"/>
    <hyperlink ref="B506" r:id="rId_hyperlink_1010" tooltip="DMN3033LSN Datasheet" display="DMN3033LSN Datasheet"/>
    <hyperlink ref="A507" r:id="rId_hyperlink_1011" tooltip="DMN3033LSNQ" display="DMN3033LSNQ"/>
    <hyperlink ref="B507" r:id="rId_hyperlink_1012" tooltip="DMN3033LSNQ Datasheet" display="DMN3033LSNQ Datasheet"/>
    <hyperlink ref="A508" r:id="rId_hyperlink_1013" tooltip="DMN3035LWN" display="DMN3035LWN"/>
    <hyperlink ref="B508" r:id="rId_hyperlink_1014" tooltip="DMN3035LWN Datasheet" display="DMN3035LWN Datasheet"/>
    <hyperlink ref="A509" r:id="rId_hyperlink_1015" tooltip="DMN3042L" display="DMN3042L"/>
    <hyperlink ref="B509" r:id="rId_hyperlink_1016" tooltip="DMN3042L Datasheet" display="DMN3042L Datasheet"/>
    <hyperlink ref="A510" r:id="rId_hyperlink_1017" tooltip="DMN3042LFDF" display="DMN3042LFDF"/>
    <hyperlink ref="B510" r:id="rId_hyperlink_1018" tooltip="DMN3042LFDF Datasheet" display="DMN3042LFDF Datasheet"/>
    <hyperlink ref="A511" r:id="rId_hyperlink_1019" tooltip="DMN3051L" display="DMN3051L"/>
    <hyperlink ref="B511" r:id="rId_hyperlink_1020" tooltip="DMN3051L Datasheet" display="DMN3051L Datasheet"/>
    <hyperlink ref="A512" r:id="rId_hyperlink_1021" tooltip="DMN3051LDM" display="DMN3051LDM"/>
    <hyperlink ref="B512" r:id="rId_hyperlink_1022" tooltip="DMN3051LDM Datasheet" display="DMN3051LDM Datasheet"/>
    <hyperlink ref="A513" r:id="rId_hyperlink_1023" tooltip="DMN3053L" display="DMN3053L"/>
    <hyperlink ref="B513" r:id="rId_hyperlink_1024" tooltip="DMN3053L Datasheet" display="DMN3053L Datasheet"/>
    <hyperlink ref="A514" r:id="rId_hyperlink_1025" tooltip="DMN3055LFDB" display="DMN3055LFDB"/>
    <hyperlink ref="B514" r:id="rId_hyperlink_1026" tooltip="DMN3055LFDB Datasheet" display="DMN3055LFDB Datasheet"/>
    <hyperlink ref="A515" r:id="rId_hyperlink_1027" tooltip="DMN3055LFDBQ" display="DMN3055LFDBQ"/>
    <hyperlink ref="B515" r:id="rId_hyperlink_1028" tooltip="DMN3055LFDBQ Datasheet" display="DMN3055LFDBQ Datasheet"/>
    <hyperlink ref="A516" r:id="rId_hyperlink_1029" tooltip="DMN3060LCA3" display="DMN3060LCA3"/>
    <hyperlink ref="B516" r:id="rId_hyperlink_1030" tooltip="DMN3060LCA3 Datasheet" display="DMN3060LCA3 Datasheet"/>
    <hyperlink ref="A517" r:id="rId_hyperlink_1031" tooltip="DMN3060LVT" display="DMN3060LVT"/>
    <hyperlink ref="B517" r:id="rId_hyperlink_1032" tooltip="DMN3060LVT Datasheet" display="DMN3060LVT Datasheet"/>
    <hyperlink ref="A518" r:id="rId_hyperlink_1033" tooltip="DMN3060LW" display="DMN3060LW"/>
    <hyperlink ref="B518" r:id="rId_hyperlink_1034" tooltip="DMN3060LW Datasheet" display="DMN3060LW Datasheet"/>
    <hyperlink ref="A519" r:id="rId_hyperlink_1035" tooltip="DMN3060LWQ" display="DMN3060LWQ"/>
    <hyperlink ref="B519" r:id="rId_hyperlink_1036" tooltip="DMN3060LWQ Datasheet" display="DMN3060LWQ Datasheet"/>
    <hyperlink ref="A520" r:id="rId_hyperlink_1037" tooltip="DMN3061LCA3" display="DMN3061LCA3"/>
    <hyperlink ref="B520" r:id="rId_hyperlink_1038" tooltip="DMN3061LCA3 Datasheet" display="DMN3061LCA3 Datasheet"/>
    <hyperlink ref="A521" r:id="rId_hyperlink_1039" tooltip="DMN3061S" display="DMN3061S"/>
    <hyperlink ref="B521" r:id="rId_hyperlink_1040" tooltip="DMN3061S Datasheet" display="DMN3061S Datasheet"/>
    <hyperlink ref="A522" r:id="rId_hyperlink_1041" tooltip="DMN3061SQ" display="DMN3061SQ"/>
    <hyperlink ref="B522" r:id="rId_hyperlink_1042" tooltip="DMN3061SQ Datasheet" display="DMN3061SQ Datasheet"/>
    <hyperlink ref="A523" r:id="rId_hyperlink_1043" tooltip="DMN3061SVT" display="DMN3061SVT"/>
    <hyperlink ref="B523" r:id="rId_hyperlink_1044" tooltip="DMN3061SVT Datasheet" display="DMN3061SVT Datasheet"/>
    <hyperlink ref="A524" r:id="rId_hyperlink_1045" tooltip="DMN3061SVTQ" display="DMN3061SVTQ"/>
    <hyperlink ref="B524" r:id="rId_hyperlink_1046" tooltip="DMN3061SVTQ Datasheet" display="DMN3061SVTQ Datasheet"/>
    <hyperlink ref="A525" r:id="rId_hyperlink_1047" tooltip="DMN3061SW" display="DMN3061SW"/>
    <hyperlink ref="B525" r:id="rId_hyperlink_1048" tooltip="DMN3061SW Datasheet" display="DMN3061SW Datasheet"/>
    <hyperlink ref="A526" r:id="rId_hyperlink_1049" tooltip="DMN3061SWQ" display="DMN3061SWQ"/>
    <hyperlink ref="B526" r:id="rId_hyperlink_1050" tooltip="DMN3061SWQ Datasheet" display="DMN3061SWQ Datasheet"/>
    <hyperlink ref="A527" r:id="rId_hyperlink_1051" tooltip="DMN3065LW" display="DMN3065LW"/>
    <hyperlink ref="B527" r:id="rId_hyperlink_1052" tooltip="DMN3065LW Datasheet" display="DMN3065LW Datasheet"/>
    <hyperlink ref="A528" r:id="rId_hyperlink_1053" tooltip="DMN3066L" display="DMN3066L"/>
    <hyperlink ref="B528" r:id="rId_hyperlink_1054" tooltip="DMN3066L Datasheet" display="DMN3066L Datasheet"/>
    <hyperlink ref="A529" r:id="rId_hyperlink_1055" tooltip="DMN3066LQ" display="DMN3066LQ"/>
    <hyperlink ref="B529" r:id="rId_hyperlink_1056" tooltip="DMN3066LQ Datasheet" display="DMN3066LQ Datasheet"/>
    <hyperlink ref="A530" r:id="rId_hyperlink_1057" tooltip="DMN3066LVT" display="DMN3066LVT"/>
    <hyperlink ref="B530" r:id="rId_hyperlink_1058" tooltip="DMN3066LVT Datasheet" display="DMN3066LVT Datasheet"/>
    <hyperlink ref="A531" r:id="rId_hyperlink_1059" tooltip="DMN3066LVTQ" display="DMN3066LVTQ"/>
    <hyperlink ref="B531" r:id="rId_hyperlink_1060" tooltip="DMN3066LVTQ Datasheet" display="DMN3066LVTQ Datasheet"/>
    <hyperlink ref="A532" r:id="rId_hyperlink_1061" tooltip="DMN3067LW" display="DMN3067LW"/>
    <hyperlink ref="B532" r:id="rId_hyperlink_1062" tooltip="DMN3067LW Datasheet" display="DMN3067LW Datasheet"/>
    <hyperlink ref="A533" r:id="rId_hyperlink_1063" tooltip="DMN3069L" display="DMN3069L"/>
    <hyperlink ref="B533" r:id="rId_hyperlink_1064" tooltip="DMN3069L Datasheet" display="DMN3069L Datasheet"/>
    <hyperlink ref="A534" r:id="rId_hyperlink_1065" tooltip="DMN3070SSN" display="DMN3070SSN"/>
    <hyperlink ref="B534" r:id="rId_hyperlink_1066" tooltip="DMN3070SSN Datasheet" display="DMN3070SSN Datasheet"/>
    <hyperlink ref="A535" r:id="rId_hyperlink_1067" tooltip="DMN3071LFR4" display="DMN3071LFR4"/>
    <hyperlink ref="B535" r:id="rId_hyperlink_1068" tooltip="DMN3071LFR4 Datasheet" display="DMN3071LFR4 Datasheet"/>
    <hyperlink ref="A536" r:id="rId_hyperlink_1069" tooltip="DMN30H4D0L" display="DMN30H4D0L"/>
    <hyperlink ref="B536" r:id="rId_hyperlink_1070" tooltip="DMN30H4D0L Datasheet" display="DMN30H4D0L Datasheet"/>
    <hyperlink ref="A537" r:id="rId_hyperlink_1071" tooltip="DMN30H4D0LFDE" display="DMN30H4D0LFDE"/>
    <hyperlink ref="B537" r:id="rId_hyperlink_1072" tooltip="DMN30H4D0LFDE Datasheet" display="DMN30H4D0LFDE Datasheet"/>
    <hyperlink ref="A538" r:id="rId_hyperlink_1073" tooltip="DMN3110S" display="DMN3110S"/>
    <hyperlink ref="B538" r:id="rId_hyperlink_1074" tooltip="DMN3110S Datasheet" display="DMN3110S Datasheet"/>
    <hyperlink ref="A539" r:id="rId_hyperlink_1075" tooltip="DMN3112SQ" display="DMN3112SQ"/>
    <hyperlink ref="B539" r:id="rId_hyperlink_1076" tooltip="DMN3112SQ Datasheet" display="DMN3112SQ Datasheet"/>
    <hyperlink ref="A540" r:id="rId_hyperlink_1077" tooltip="DMN3135LVT" display="DMN3135LVT"/>
    <hyperlink ref="B540" r:id="rId_hyperlink_1078" tooltip="DMN3135LVT Datasheet" display="DMN3135LVT Datasheet"/>
    <hyperlink ref="A541" r:id="rId_hyperlink_1079" tooltip="DMN313DLT" display="DMN313DLT"/>
    <hyperlink ref="B541" r:id="rId_hyperlink_1080" tooltip="DMN313DLT Datasheet" display="DMN313DLT Datasheet"/>
    <hyperlink ref="A542" r:id="rId_hyperlink_1081" tooltip="DMN3150L" display="DMN3150L"/>
    <hyperlink ref="B542" r:id="rId_hyperlink_1082" tooltip="DMN3150L Datasheet" display="DMN3150L Datasheet"/>
    <hyperlink ref="A543" r:id="rId_hyperlink_1083" tooltip="DMN3150LW" display="DMN3150LW"/>
    <hyperlink ref="B543" r:id="rId_hyperlink_1084" tooltip="DMN3150LW Datasheet" display="DMN3150LW Datasheet"/>
    <hyperlink ref="A544" r:id="rId_hyperlink_1085" tooltip="DMN3190LDW" display="DMN3190LDW"/>
    <hyperlink ref="B544" r:id="rId_hyperlink_1086" tooltip="DMN3190LDW Datasheet" display="DMN3190LDW Datasheet"/>
    <hyperlink ref="A545" r:id="rId_hyperlink_1087" tooltip="DMN3190LDWQ" display="DMN3190LDWQ"/>
    <hyperlink ref="B545" r:id="rId_hyperlink_1088" tooltip="DMN3190LDWQ Datasheet" display="DMN3190LDWQ Datasheet"/>
    <hyperlink ref="A546" r:id="rId_hyperlink_1089" tooltip="DMN31D4UFZ" display="DMN31D4UFZ"/>
    <hyperlink ref="B546" r:id="rId_hyperlink_1090" tooltip="DMN31D4UFZ Datasheet" display="DMN31D4UFZ Datasheet"/>
    <hyperlink ref="A547" r:id="rId_hyperlink_1091" tooltip="DMN31D5L" display="DMN31D5L"/>
    <hyperlink ref="B547" r:id="rId_hyperlink_1092" tooltip="DMN31D5L Datasheet" display="DMN31D5L Datasheet"/>
    <hyperlink ref="A548" r:id="rId_hyperlink_1093" tooltip="DMN31D5UDA" display="DMN31D5UDA"/>
    <hyperlink ref="B548" r:id="rId_hyperlink_1094" tooltip="DMN31D5UDA Datasheet" display="DMN31D5UDA Datasheet"/>
    <hyperlink ref="A549" r:id="rId_hyperlink_1095" tooltip="DMN31D5UDAQ" display="DMN31D5UDAQ"/>
    <hyperlink ref="B549" r:id="rId_hyperlink_1096" tooltip="DMN31D5UDAQ Datasheet" display="DMN31D5UDAQ Datasheet"/>
    <hyperlink ref="A550" r:id="rId_hyperlink_1097" tooltip="DMN31D5UDJ" display="DMN31D5UDJ"/>
    <hyperlink ref="B550" r:id="rId_hyperlink_1098" tooltip="DMN31D5UDJ Datasheet" display="DMN31D5UDJ Datasheet"/>
    <hyperlink ref="A551" r:id="rId_hyperlink_1099" tooltip="DMN31D5UDW" display="DMN31D5UDW"/>
    <hyperlink ref="B551" r:id="rId_hyperlink_1100" tooltip="DMN31D5UDW Datasheet" display="DMN31D5UDW Datasheet"/>
    <hyperlink ref="A552" r:id="rId_hyperlink_1101" tooltip="DMN31D5UFA" display="DMN31D5UFA"/>
    <hyperlink ref="B552" r:id="rId_hyperlink_1102" tooltip="DMN31D5UFA Datasheet" display="DMN31D5UFA Datasheet"/>
    <hyperlink ref="A553" r:id="rId_hyperlink_1103" tooltip="DMN31D5UFO" display="DMN31D5UFO"/>
    <hyperlink ref="B553" r:id="rId_hyperlink_1104" tooltip="DMN31D5UFO Datasheet" display="DMN31D5UFO Datasheet"/>
    <hyperlink ref="A554" r:id="rId_hyperlink_1105" tooltip="DMN31D5UFZ" display="DMN31D5UFZ"/>
    <hyperlink ref="B554" r:id="rId_hyperlink_1106" tooltip="DMN31D5UFZ Datasheet" display="DMN31D5UFZ Datasheet"/>
    <hyperlink ref="A555" r:id="rId_hyperlink_1107" tooltip="DMN31D5UFZQ" display="DMN31D5UFZQ"/>
    <hyperlink ref="B555" r:id="rId_hyperlink_1108" tooltip="DMN31D5UFZQ Datasheet" display="DMN31D5UFZQ Datasheet"/>
    <hyperlink ref="A556" r:id="rId_hyperlink_1109" tooltip="DMN31D6UT" display="DMN31D6UT"/>
    <hyperlink ref="B556" r:id="rId_hyperlink_1110" tooltip="DMN31D6UT Datasheet" display="DMN31D6UT Datasheet"/>
    <hyperlink ref="A557" r:id="rId_hyperlink_1111" tooltip="DMN3200U" display="DMN3200U"/>
    <hyperlink ref="B557" r:id="rId_hyperlink_1112" tooltip="DMN3200U Datasheet" display="DMN3200U Datasheet"/>
    <hyperlink ref="A558" r:id="rId_hyperlink_1113" tooltip="DMN3270UVT" display="DMN3270UVT"/>
    <hyperlink ref="B558" r:id="rId_hyperlink_1114" tooltip="DMN3270UVT Datasheet" display="DMN3270UVT Datasheet"/>
    <hyperlink ref="A559" r:id="rId_hyperlink_1115" tooltip="DMN32D0LFB4" display="DMN32D0LFB4"/>
    <hyperlink ref="B559" r:id="rId_hyperlink_1116" tooltip="DMN32D0LFB4 Datasheet" display="DMN32D0LFB4 Datasheet"/>
    <hyperlink ref="A560" r:id="rId_hyperlink_1117" tooltip="DMN32D0LV" display="DMN32D0LV"/>
    <hyperlink ref="B560" r:id="rId_hyperlink_1118" tooltip="DMN32D0LV Datasheet" display="DMN32D0LV Datasheet"/>
    <hyperlink ref="A561" r:id="rId_hyperlink_1119" tooltip="DMN32D0LVQ" display="DMN32D0LVQ"/>
    <hyperlink ref="B561" r:id="rId_hyperlink_1120" tooltip="DMN32D0LVQ Datasheet" display="DMN32D0LVQ Datasheet"/>
    <hyperlink ref="A562" r:id="rId_hyperlink_1121" tooltip="DMN32D2LDF" display="DMN32D2LDF"/>
    <hyperlink ref="B562" r:id="rId_hyperlink_1122" tooltip="DMN32D2LDF Datasheet" display="DMN32D2LDF Datasheet"/>
    <hyperlink ref="A563" r:id="rId_hyperlink_1123" tooltip="DMN32D2LFB4" display="DMN32D2LFB4"/>
    <hyperlink ref="B563" r:id="rId_hyperlink_1124" tooltip="DMN32D2LFB4 Datasheet" display="DMN32D2LFB4 Datasheet"/>
    <hyperlink ref="A564" r:id="rId_hyperlink_1125" tooltip="DMN32D4SDW" display="DMN32D4SDW"/>
    <hyperlink ref="B564" r:id="rId_hyperlink_1126" tooltip="DMN32D4SDW Datasheet" display="DMN32D4SDW Datasheet"/>
    <hyperlink ref="A565" r:id="rId_hyperlink_1127" tooltip="DMN32M6LCA8" display="DMN32M6LCA8"/>
    <hyperlink ref="B565" r:id="rId_hyperlink_1128" tooltip="DMN32M6LCA8 Datasheet" display="DMN32M6LCA8 Datasheet"/>
    <hyperlink ref="A566" r:id="rId_hyperlink_1129" tooltip="DMN3300U" display="DMN3300U"/>
    <hyperlink ref="B566" r:id="rId_hyperlink_1130" tooltip="DMN3300U Datasheet" display="DMN3300U Datasheet"/>
    <hyperlink ref="A567" r:id="rId_hyperlink_1131" tooltip="DMN3300UQ" display="DMN3300UQ"/>
    <hyperlink ref="B567" r:id="rId_hyperlink_1132" tooltip="DMN3300UQ Datasheet" display="DMN3300UQ Datasheet"/>
    <hyperlink ref="A568" r:id="rId_hyperlink_1133" tooltip="DMN3350LDW" display="DMN3350LDW"/>
    <hyperlink ref="B568" r:id="rId_hyperlink_1134" tooltip="DMN3350LDW Datasheet" display="DMN3350LDW Datasheet"/>
    <hyperlink ref="A569" r:id="rId_hyperlink_1135" tooltip="DMN3350LDWQ" display="DMN3350LDWQ"/>
    <hyperlink ref="B569" r:id="rId_hyperlink_1136" tooltip="DMN3350LDWQ Datasheet" display="DMN3350LDWQ Datasheet"/>
    <hyperlink ref="A570" r:id="rId_hyperlink_1137" tooltip="DMN3350LFB" display="DMN3350LFB"/>
    <hyperlink ref="B570" r:id="rId_hyperlink_1138" tooltip="DMN3350LFB Datasheet" display="DMN3350LFB Datasheet"/>
    <hyperlink ref="A571" r:id="rId_hyperlink_1139" tooltip="DMN33D8L" display="DMN33D8L"/>
    <hyperlink ref="B571" r:id="rId_hyperlink_1140" tooltip="DMN33D8L Datasheet" display="DMN33D8L Datasheet"/>
    <hyperlink ref="A572" r:id="rId_hyperlink_1141" tooltip="DMN33D8LDW" display="DMN33D8LDW"/>
    <hyperlink ref="B572" r:id="rId_hyperlink_1142" tooltip="DMN33D8LDW Datasheet" display="DMN33D8LDW Datasheet"/>
    <hyperlink ref="A573" r:id="rId_hyperlink_1143" tooltip="DMN33D8LDWQ" display="DMN33D8LDWQ"/>
    <hyperlink ref="B573" r:id="rId_hyperlink_1144" tooltip="DMN33D8LDWQ Datasheet" display="DMN33D8LDWQ Datasheet"/>
    <hyperlink ref="A574" r:id="rId_hyperlink_1145" tooltip="DMN33D8LT" display="DMN33D8LT"/>
    <hyperlink ref="B574" r:id="rId_hyperlink_1146" tooltip="DMN33D8LT Datasheet" display="DMN33D8LT Datasheet"/>
    <hyperlink ref="A575" r:id="rId_hyperlink_1147" tooltip="DMN33D8LTQ" display="DMN33D8LTQ"/>
    <hyperlink ref="B575" r:id="rId_hyperlink_1148" tooltip="DMN33D8LTQ Datasheet" display="DMN33D8LTQ Datasheet"/>
    <hyperlink ref="A576" r:id="rId_hyperlink_1149" tooltip="DMN33D8LV" display="DMN33D8LV"/>
    <hyperlink ref="B576" r:id="rId_hyperlink_1150" tooltip="DMN33D8LV Datasheet" display="DMN33D8LV Datasheet"/>
    <hyperlink ref="A577" r:id="rId_hyperlink_1151" tooltip="DMN33D8LVQ" display="DMN33D8LVQ"/>
    <hyperlink ref="B577" r:id="rId_hyperlink_1152" tooltip="DMN33D8LVQ Datasheet" display="DMN33D8LVQ Datasheet"/>
    <hyperlink ref="A578" r:id="rId_hyperlink_1153" tooltip="DMN33D9LV" display="DMN33D9LV"/>
    <hyperlink ref="B578" r:id="rId_hyperlink_1154" tooltip="DMN33D9LV Datasheet" display="DMN33D9LV Datasheet"/>
    <hyperlink ref="A579" r:id="rId_hyperlink_1155" tooltip="DMN3401LDW" display="DMN3401LDW"/>
    <hyperlink ref="B579" r:id="rId_hyperlink_1156" tooltip="DMN3401LDW Datasheet" display="DMN3401LDW Datasheet"/>
    <hyperlink ref="A580" r:id="rId_hyperlink_1157" tooltip="DMN3401LDWQ" display="DMN3401LDWQ"/>
    <hyperlink ref="B580" r:id="rId_hyperlink_1158" tooltip="DMN3401LDWQ Datasheet" display="DMN3401LDWQ Datasheet"/>
    <hyperlink ref="A581" r:id="rId_hyperlink_1159" tooltip="DMN3401LV" display="DMN3401LV"/>
    <hyperlink ref="B581" r:id="rId_hyperlink_1160" tooltip="DMN3401LV Datasheet" display="DMN3401LV Datasheet"/>
    <hyperlink ref="A582" r:id="rId_hyperlink_1161" tooltip="DMN3401LVQ" display="DMN3401LVQ"/>
    <hyperlink ref="B582" r:id="rId_hyperlink_1162" tooltip="DMN3401LVQ Datasheet" display="DMN3401LVQ Datasheet"/>
    <hyperlink ref="A583" r:id="rId_hyperlink_1163" tooltip="DMN3404L" display="DMN3404L"/>
    <hyperlink ref="B583" r:id="rId_hyperlink_1164" tooltip="DMN3404L Datasheet" display="DMN3404L Datasheet"/>
    <hyperlink ref="A584" r:id="rId_hyperlink_1165" tooltip="DMN34D0U" display="DMN34D0U"/>
    <hyperlink ref="B584" r:id="rId_hyperlink_1166" tooltip="DMN34D0U Datasheet" display="DMN34D0U Datasheet"/>
    <hyperlink ref="A585" r:id="rId_hyperlink_1167" tooltip="DMN3730UFB" display="DMN3730UFB"/>
    <hyperlink ref="B585" r:id="rId_hyperlink_1168" tooltip="DMN3730UFB Datasheet" display="DMN3730UFB Datasheet"/>
    <hyperlink ref="A586" r:id="rId_hyperlink_1169" tooltip="DMN3730UFB4" display="DMN3730UFB4"/>
    <hyperlink ref="B586" r:id="rId_hyperlink_1170" tooltip="DMN3730UFB4 Datasheet" display="DMN3730UFB4 Datasheet"/>
    <hyperlink ref="A587" r:id="rId_hyperlink_1171" tooltip="DMN3731U" display="DMN3731U"/>
    <hyperlink ref="B587" r:id="rId_hyperlink_1172" tooltip="DMN3731U Datasheet" display="DMN3731U Datasheet"/>
    <hyperlink ref="A588" r:id="rId_hyperlink_1173" tooltip="DMN3731UFB4" display="DMN3731UFB4"/>
    <hyperlink ref="B588" r:id="rId_hyperlink_1174" tooltip="DMN3731UFB4 Datasheet" display="DMN3731UFB4 Datasheet"/>
    <hyperlink ref="A589" r:id="rId_hyperlink_1175" tooltip="DMN3732U" display="DMN3732U"/>
    <hyperlink ref="B589" r:id="rId_hyperlink_1176" tooltip="DMN3732U Datasheet" display="DMN3732U Datasheet"/>
    <hyperlink ref="A590" r:id="rId_hyperlink_1177" tooltip="DMN3732UFB4" display="DMN3732UFB4"/>
    <hyperlink ref="B590" r:id="rId_hyperlink_1178" tooltip="DMN3732UFB4 Datasheet" display="DMN3732UFB4 Datasheet"/>
    <hyperlink ref="A591" r:id="rId_hyperlink_1179" tooltip="DMN3732UFB4Q" display="DMN3732UFB4Q"/>
    <hyperlink ref="B591" r:id="rId_hyperlink_1180" tooltip="DMN3732UFB4Q Datasheet" display="DMN3732UFB4Q Datasheet"/>
    <hyperlink ref="A592" r:id="rId_hyperlink_1181" tooltip="DMN3732UQ" display="DMN3732UQ"/>
    <hyperlink ref="B592" r:id="rId_hyperlink_1182" tooltip="DMN3732UQ Datasheet" display="DMN3732UQ Datasheet"/>
    <hyperlink ref="A593" r:id="rId_hyperlink_1183" tooltip="DMN3732UVT" display="DMN3732UVT"/>
    <hyperlink ref="B593" r:id="rId_hyperlink_1184" tooltip="DMN3732UVT Datasheet" display="DMN3732UVT Datasheet"/>
    <hyperlink ref="A594" r:id="rId_hyperlink_1185" tooltip="DMN3732UVTQ" display="DMN3732UVTQ"/>
    <hyperlink ref="B594" r:id="rId_hyperlink_1186" tooltip="DMN3732UVTQ Datasheet" display="DMN3732UVTQ Datasheet"/>
    <hyperlink ref="A595" r:id="rId_hyperlink_1187" tooltip="DMN38M1SCA10" display="DMN38M1SCA10"/>
    <hyperlink ref="B595" r:id="rId_hyperlink_1188" tooltip="DMN38M1SCA10 Datasheet" display="DMN38M1SCA10 Datasheet"/>
    <hyperlink ref="A596" r:id="rId_hyperlink_1189" tooltip="DMN3900UFA" display="DMN3900UFA"/>
    <hyperlink ref="B596" r:id="rId_hyperlink_1190" tooltip="DMN3900UFA Datasheet" display="DMN3900UFA Datasheet"/>
    <hyperlink ref="A597" r:id="rId_hyperlink_1191" tooltip="DMN39M1LFVW" display="DMN39M1LFVW"/>
    <hyperlink ref="B597" r:id="rId_hyperlink_1192" tooltip="DMN39M1LFVW Datasheet" display="DMN39M1LFVW Datasheet"/>
    <hyperlink ref="A598" r:id="rId_hyperlink_1193" tooltip="DMN39M1LFVWQ" display="DMN39M1LFVWQ"/>
    <hyperlink ref="B598" r:id="rId_hyperlink_1194" tooltip="DMN39M1LFVWQ Datasheet" display="DMN39M1LFVWQ Datasheet"/>
    <hyperlink ref="A599" r:id="rId_hyperlink_1195" tooltip="DMN39M1LK3" display="DMN39M1LK3"/>
    <hyperlink ref="B599" r:id="rId_hyperlink_1196" tooltip="DMN39M1LK3 Datasheet" display="DMN39M1LK3 Datasheet"/>
    <hyperlink ref="A600" r:id="rId_hyperlink_1197" tooltip="DMN39M1LSS" display="DMN39M1LSS"/>
    <hyperlink ref="B600" r:id="rId_hyperlink_1198" tooltip="DMN39M1LSS Datasheet" display="DMN39M1LSS Datasheet"/>
    <hyperlink ref="A601" r:id="rId_hyperlink_1199" tooltip="DMN39M1LSSQ" display="DMN39M1LSSQ"/>
    <hyperlink ref="B601" r:id="rId_hyperlink_1200" tooltip="DMN39M1LSSQ Datasheet" display="DMN39M1LSSQ Datasheet"/>
    <hyperlink ref="A602" r:id="rId_hyperlink_1201" tooltip="DMN4008LFG" display="DMN4008LFG"/>
    <hyperlink ref="B602" r:id="rId_hyperlink_1202" tooltip="DMN4008LFG Datasheet" display="DMN4008LFG Datasheet"/>
    <hyperlink ref="A603" r:id="rId_hyperlink_1203" tooltip="DMN4010LFG" display="DMN4010LFG"/>
    <hyperlink ref="B603" r:id="rId_hyperlink_1204" tooltip="DMN4010LFG Datasheet" display="DMN4010LFG Datasheet"/>
    <hyperlink ref="A604" r:id="rId_hyperlink_1205" tooltip="DMN4010LK3" display="DMN4010LK3"/>
    <hyperlink ref="B604" r:id="rId_hyperlink_1206" tooltip="DMN4010LK3 Datasheet" display="DMN4010LK3 Datasheet"/>
    <hyperlink ref="A605" r:id="rId_hyperlink_1207" tooltip="DMN4020LFDE" display="DMN4020LFDE"/>
    <hyperlink ref="B605" r:id="rId_hyperlink_1208" tooltip="DMN4020LFDE Datasheet" display="DMN4020LFDE Datasheet"/>
    <hyperlink ref="A606" r:id="rId_hyperlink_1209" tooltip="DMN4020LFDEQ" display="DMN4020LFDEQ"/>
    <hyperlink ref="B606" r:id="rId_hyperlink_1210" tooltip="DMN4020LFDEQ Datasheet" display="DMN4020LFDEQ Datasheet"/>
    <hyperlink ref="A607" r:id="rId_hyperlink_1211" tooltip="DMN4026SK3" display="DMN4026SK3"/>
    <hyperlink ref="B607" r:id="rId_hyperlink_1212" tooltip="DMN4026SK3 Datasheet" display="DMN4026SK3 Datasheet"/>
    <hyperlink ref="A608" r:id="rId_hyperlink_1213" tooltip="DMN4026SSD" display="DMN4026SSD"/>
    <hyperlink ref="B608" r:id="rId_hyperlink_1214" tooltip="DMN4026SSD Datasheet" display="DMN4026SSD Datasheet"/>
    <hyperlink ref="A609" r:id="rId_hyperlink_1215" tooltip="DMN4027SSD" display="DMN4027SSD"/>
    <hyperlink ref="B609" r:id="rId_hyperlink_1216" tooltip="DMN4027SSD Datasheet" display="DMN4027SSD Datasheet"/>
    <hyperlink ref="A610" r:id="rId_hyperlink_1217" tooltip="DMN4030LK3" display="DMN4030LK3"/>
    <hyperlink ref="B610" r:id="rId_hyperlink_1218" tooltip="DMN4030LK3 Datasheet" display="DMN4030LK3 Datasheet"/>
    <hyperlink ref="A611" r:id="rId_hyperlink_1219" tooltip="DMN4030LK3Q" display="DMN4030LK3Q"/>
    <hyperlink ref="B611" r:id="rId_hyperlink_1220" tooltip="DMN4030LK3Q Datasheet" display="DMN4030LK3Q Datasheet"/>
    <hyperlink ref="A612" r:id="rId_hyperlink_1221" tooltip="DMN4031SSDQ" display="DMN4031SSDQ"/>
    <hyperlink ref="B612" r:id="rId_hyperlink_1222" tooltip="DMN4031SSDQ Datasheet" display="DMN4031SSDQ Datasheet"/>
    <hyperlink ref="A613" r:id="rId_hyperlink_1223" tooltip="DMN4034SSD" display="DMN4034SSD"/>
    <hyperlink ref="B613" r:id="rId_hyperlink_1224" tooltip="DMN4034SSD Datasheet" display="DMN4034SSD Datasheet"/>
    <hyperlink ref="A614" r:id="rId_hyperlink_1225" tooltip="DMN4034SSS" display="DMN4034SSS"/>
    <hyperlink ref="B614" r:id="rId_hyperlink_1226" tooltip="DMN4034SSS Datasheet" display="DMN4034SSS Datasheet"/>
    <hyperlink ref="A615" r:id="rId_hyperlink_1227" tooltip="DMN4034SSSQ" display="DMN4034SSSQ"/>
    <hyperlink ref="B615" r:id="rId_hyperlink_1228" tooltip="DMN4034SSSQ Datasheet" display="DMN4034SSSQ Datasheet"/>
    <hyperlink ref="A616" r:id="rId_hyperlink_1229" tooltip="DMN4035L" display="DMN4035L"/>
    <hyperlink ref="B616" r:id="rId_hyperlink_1230" tooltip="DMN4035L Datasheet" display="DMN4035L Datasheet"/>
    <hyperlink ref="A617" r:id="rId_hyperlink_1231" tooltip="DMN4035LQ" display="DMN4035LQ"/>
    <hyperlink ref="B617" r:id="rId_hyperlink_1232" tooltip="DMN4035LQ Datasheet" display="DMN4035LQ Datasheet"/>
    <hyperlink ref="A618" r:id="rId_hyperlink_1233" tooltip="DMN4036LK3" display="DMN4036LK3"/>
    <hyperlink ref="B618" r:id="rId_hyperlink_1234" tooltip="DMN4036LK3 Datasheet" display="DMN4036LK3 Datasheet"/>
    <hyperlink ref="A619" r:id="rId_hyperlink_1235" tooltip="DMN4060SVT" display="DMN4060SVT"/>
    <hyperlink ref="B619" r:id="rId_hyperlink_1236" tooltip="DMN4060SVT Datasheet" display="DMN4060SVT Datasheet"/>
    <hyperlink ref="A620" r:id="rId_hyperlink_1237" tooltip="DMN4060SVTQ" display="DMN4060SVTQ"/>
    <hyperlink ref="B620" r:id="rId_hyperlink_1238" tooltip="DMN4060SVTQ Datasheet" display="DMN4060SVTQ Datasheet"/>
    <hyperlink ref="A621" r:id="rId_hyperlink_1239" tooltip="DMN4468LSS" display="DMN4468LSS"/>
    <hyperlink ref="B621" r:id="rId_hyperlink_1240" tooltip="DMN4468LSS Datasheet" display="DMN4468LSS Datasheet"/>
    <hyperlink ref="A622" r:id="rId_hyperlink_1241" tooltip="DMN4800LSS" display="DMN4800LSS"/>
    <hyperlink ref="B622" r:id="rId_hyperlink_1242" tooltip="DMN4800LSS Datasheet" display="DMN4800LSS Datasheet"/>
    <hyperlink ref="A623" r:id="rId_hyperlink_1243" tooltip="DMN4800LSSL" display="DMN4800LSSL"/>
    <hyperlink ref="B623" r:id="rId_hyperlink_1244" tooltip="DMN4800LSSL Datasheet" display="DMN4800LSSL Datasheet"/>
    <hyperlink ref="A624" r:id="rId_hyperlink_1245" tooltip="DMN4800LSSQ" display="DMN4800LSSQ"/>
    <hyperlink ref="B624" r:id="rId_hyperlink_1246" tooltip="DMN4800LSSQ Datasheet" display="DMN4800LSSQ Datasheet"/>
    <hyperlink ref="A625" r:id="rId_hyperlink_1247" tooltip="DMN5040LSS" display="DMN5040LSS"/>
    <hyperlink ref="B625" r:id="rId_hyperlink_1248" tooltip="DMN5040LSS Datasheet" display="DMN5040LSS Datasheet"/>
    <hyperlink ref="A626" r:id="rId_hyperlink_1249" tooltip="DMN52D0LT" display="DMN52D0LT"/>
    <hyperlink ref="B626" r:id="rId_hyperlink_1250" tooltip="DMN52D0LT Datasheet" display="DMN52D0LT Datasheet"/>
    <hyperlink ref="A627" r:id="rId_hyperlink_1251" tooltip="DMN52D0U" display="DMN52D0U"/>
    <hyperlink ref="B627" r:id="rId_hyperlink_1252" tooltip="DMN52D0U Datasheet" display="DMN52D0U Datasheet"/>
    <hyperlink ref="A628" r:id="rId_hyperlink_1253" tooltip="DMN52D0UDM" display="DMN52D0UDM"/>
    <hyperlink ref="B628" r:id="rId_hyperlink_1254" tooltip="DMN52D0UDM Datasheet" display="DMN52D0UDM Datasheet"/>
    <hyperlink ref="A629" r:id="rId_hyperlink_1255" tooltip="DMN52D0UDMQ" display="DMN52D0UDMQ"/>
    <hyperlink ref="B629" r:id="rId_hyperlink_1256" tooltip="DMN52D0UDMQ Datasheet" display="DMN52D0UDMQ Datasheet"/>
    <hyperlink ref="A630" r:id="rId_hyperlink_1257" tooltip="DMN52D0UDW" display="DMN52D0UDW"/>
    <hyperlink ref="B630" r:id="rId_hyperlink_1258" tooltip="DMN52D0UDW Datasheet" display="DMN52D0UDW Datasheet"/>
    <hyperlink ref="A631" r:id="rId_hyperlink_1259" tooltip="DMN52D0UDWQ" display="DMN52D0UDWQ"/>
    <hyperlink ref="B631" r:id="rId_hyperlink_1260" tooltip="DMN52D0UDWQ Datasheet" display="DMN52D0UDWQ Datasheet"/>
    <hyperlink ref="A632" r:id="rId_hyperlink_1261" tooltip="DMN52D0UQ" display="DMN52D0UQ"/>
    <hyperlink ref="B632" r:id="rId_hyperlink_1262" tooltip="DMN52D0UQ Datasheet" display="DMN52D0UQ Datasheet"/>
    <hyperlink ref="A633" r:id="rId_hyperlink_1263" tooltip="DMN52D0UV" display="DMN52D0UV"/>
    <hyperlink ref="B633" r:id="rId_hyperlink_1264" tooltip="DMN52D0UV Datasheet" display="DMN52D0UV Datasheet"/>
    <hyperlink ref="A634" r:id="rId_hyperlink_1265" tooltip="DMN52D0UVA" display="DMN52D0UVA"/>
    <hyperlink ref="B634" r:id="rId_hyperlink_1266" tooltip="DMN52D0UVA Datasheet" display="DMN52D0UVA Datasheet"/>
    <hyperlink ref="A635" r:id="rId_hyperlink_1267" tooltip="DMN52D0UVQ" display="DMN52D0UVQ"/>
    <hyperlink ref="B635" r:id="rId_hyperlink_1268" tooltip="DMN52D0UVQ Datasheet" display="DMN52D0UVQ Datasheet"/>
    <hyperlink ref="A636" r:id="rId_hyperlink_1269" tooltip="DMN52D0UVT" display="DMN52D0UVT"/>
    <hyperlink ref="B636" r:id="rId_hyperlink_1270" tooltip="DMN52D0UVT Datasheet" display="DMN52D0UVT Datasheet"/>
    <hyperlink ref="A637" r:id="rId_hyperlink_1271" tooltip="DMN52D0UVTQ" display="DMN52D0UVTQ"/>
    <hyperlink ref="B637" r:id="rId_hyperlink_1272" tooltip="DMN52D0UVTQ Datasheet" display="DMN52D0UVTQ Datasheet"/>
    <hyperlink ref="A638" r:id="rId_hyperlink_1273" tooltip="DMN52D0UW" display="DMN52D0UW"/>
    <hyperlink ref="B638" r:id="rId_hyperlink_1274" tooltip="DMN52D0UW Datasheet" display="DMN52D0UW Datasheet"/>
    <hyperlink ref="A639" r:id="rId_hyperlink_1275" tooltip="DMN52D0UWQ" display="DMN52D0UWQ"/>
    <hyperlink ref="B639" r:id="rId_hyperlink_1276" tooltip="DMN52D0UWQ Datasheet" display="DMN52D0UWQ Datasheet"/>
    <hyperlink ref="A640" r:id="rId_hyperlink_1277" tooltip="DMN53D0L" display="DMN53D0L"/>
    <hyperlink ref="B640" r:id="rId_hyperlink_1278" tooltip="DMN53D0L Datasheet" display="DMN53D0L Datasheet"/>
    <hyperlink ref="A641" r:id="rId_hyperlink_1279" tooltip="DMN53D0LDW" display="DMN53D0LDW"/>
    <hyperlink ref="B641" r:id="rId_hyperlink_1280" tooltip="DMN53D0LDW Datasheet" display="DMN53D0LDW Datasheet"/>
    <hyperlink ref="A642" r:id="rId_hyperlink_1281" tooltip="DMN53D0LDWQ" display="DMN53D0LDWQ"/>
    <hyperlink ref="B642" r:id="rId_hyperlink_1282" tooltip="DMN53D0LDWQ Datasheet" display="DMN53D0LDWQ Datasheet"/>
    <hyperlink ref="A643" r:id="rId_hyperlink_1283" tooltip="DMN53D0LQ" display="DMN53D0LQ"/>
    <hyperlink ref="B643" r:id="rId_hyperlink_1284" tooltip="DMN53D0LQ Datasheet" display="DMN53D0LQ Datasheet"/>
    <hyperlink ref="A644" r:id="rId_hyperlink_1285" tooltip="DMN53D0LT" display="DMN53D0LT"/>
    <hyperlink ref="B644" r:id="rId_hyperlink_1286" tooltip="DMN53D0LT Datasheet" display="DMN53D0LT Datasheet"/>
    <hyperlink ref="A645" r:id="rId_hyperlink_1287" tooltip="DMN53D0LTQ" display="DMN53D0LTQ"/>
    <hyperlink ref="B645" r:id="rId_hyperlink_1288" tooltip="DMN53D0LTQ Datasheet" display="DMN53D0LTQ Datasheet"/>
    <hyperlink ref="A646" r:id="rId_hyperlink_1289" tooltip="DMN53D0LV" display="DMN53D0LV"/>
    <hyperlink ref="B646" r:id="rId_hyperlink_1290" tooltip="DMN53D0LV Datasheet" display="DMN53D0LV Datasheet"/>
    <hyperlink ref="A647" r:id="rId_hyperlink_1291" tooltip="DMN53D0LW" display="DMN53D0LW"/>
    <hyperlink ref="B647" r:id="rId_hyperlink_1292" tooltip="DMN53D0LW Datasheet" display="DMN53D0LW Datasheet"/>
    <hyperlink ref="A648" r:id="rId_hyperlink_1293" tooltip="DMN53D0U" display="DMN53D0U"/>
    <hyperlink ref="B648" r:id="rId_hyperlink_1294" tooltip="DMN53D0U Datasheet" display="DMN53D0U Datasheet"/>
    <hyperlink ref="A649" r:id="rId_hyperlink_1295" tooltip="DMN6010SCTB" display="DMN6010SCTB"/>
    <hyperlink ref="B649" r:id="rId_hyperlink_1296" tooltip="DMN6010SCTB Datasheet" display="DMN6010SCTB Datasheet"/>
    <hyperlink ref="A650" r:id="rId_hyperlink_1297" tooltip="DMN6010SCTBQ" display="DMN6010SCTBQ"/>
    <hyperlink ref="B650" r:id="rId_hyperlink_1298" tooltip="DMN6010SCTBQ Datasheet" display="DMN6010SCTBQ Datasheet"/>
    <hyperlink ref="A651" r:id="rId_hyperlink_1299" tooltip="DMN6013LFG" display="DMN6013LFG"/>
    <hyperlink ref="B651" r:id="rId_hyperlink_1300" tooltip="DMN6013LFG Datasheet" display="DMN6013LFG Datasheet"/>
    <hyperlink ref="A652" r:id="rId_hyperlink_1301" tooltip="DMN6013LFGQ" display="DMN6013LFGQ"/>
    <hyperlink ref="B652" r:id="rId_hyperlink_1302" tooltip="DMN6013LFGQ Datasheet" display="DMN6013LFGQ Datasheet"/>
    <hyperlink ref="A653" r:id="rId_hyperlink_1303" tooltip="DMN6017SFV" display="DMN6017SFV"/>
    <hyperlink ref="B653" r:id="rId_hyperlink_1304" tooltip="DMN6017SFV Datasheet" display="DMN6017SFV Datasheet"/>
    <hyperlink ref="A654" r:id="rId_hyperlink_1305" tooltip="DMN6017SK3" display="DMN6017SK3"/>
    <hyperlink ref="B654" r:id="rId_hyperlink_1306" tooltip="DMN6017SK3 Datasheet" display="DMN6017SK3 Datasheet"/>
    <hyperlink ref="A655" r:id="rId_hyperlink_1307" tooltip="DMN601DMK" display="DMN601DMK"/>
    <hyperlink ref="B655" r:id="rId_hyperlink_1308" tooltip="DMN601DMK Datasheet" display="DMN601DMK Datasheet"/>
    <hyperlink ref="A656" r:id="rId_hyperlink_1309" tooltip="DMN601DWK" display="DMN601DWK"/>
    <hyperlink ref="B656" r:id="rId_hyperlink_1310" tooltip="DMN601DWK Datasheet" display="DMN601DWK Datasheet"/>
    <hyperlink ref="A657" r:id="rId_hyperlink_1311" tooltip="DMN601DWKQ" display="DMN601DWKQ"/>
    <hyperlink ref="B657" r:id="rId_hyperlink_1312" tooltip="DMN601DWKQ Datasheet" display="DMN601DWKQ Datasheet"/>
    <hyperlink ref="A658" r:id="rId_hyperlink_1313" tooltip="DMN601K" display="DMN601K"/>
    <hyperlink ref="B658" r:id="rId_hyperlink_1314" tooltip="DMN601K Datasheet" display="DMN601K Datasheet"/>
    <hyperlink ref="A659" r:id="rId_hyperlink_1315" tooltip="DMN601LT" display="DMN601LT"/>
    <hyperlink ref="B659" r:id="rId_hyperlink_1316" tooltip="DMN601LT Datasheet" display="DMN601LT Datasheet"/>
    <hyperlink ref="A660" r:id="rId_hyperlink_1317" tooltip="DMN601LTQ" display="DMN601LTQ"/>
    <hyperlink ref="B660" r:id="rId_hyperlink_1318" tooltip="DMN601LTQ Datasheet" display="DMN601LTQ Datasheet"/>
    <hyperlink ref="A661" r:id="rId_hyperlink_1319" tooltip="DMN601TK" display="DMN601TK"/>
    <hyperlink ref="B661" r:id="rId_hyperlink_1320" tooltip="DMN601TK Datasheet" display="DMN601TK Datasheet"/>
    <hyperlink ref="A662" r:id="rId_hyperlink_1321" tooltip="DMN601TKQ" display="DMN601TKQ"/>
    <hyperlink ref="B662" r:id="rId_hyperlink_1322" tooltip="DMN601TKQ Datasheet" display="DMN601TKQ Datasheet"/>
    <hyperlink ref="A663" r:id="rId_hyperlink_1323" tooltip="DMN601VKQ" display="DMN601VKQ"/>
    <hyperlink ref="B663" r:id="rId_hyperlink_1324" tooltip="DMN601VKQ Datasheet" display="DMN601VKQ Datasheet"/>
    <hyperlink ref="A664" r:id="rId_hyperlink_1325" tooltip="DMN601WK" display="DMN601WK"/>
    <hyperlink ref="B664" r:id="rId_hyperlink_1326" tooltip="DMN601WK Datasheet" display="DMN601WK Datasheet"/>
    <hyperlink ref="A665" r:id="rId_hyperlink_1327" tooltip="DMN601WKQ" display="DMN601WKQ"/>
    <hyperlink ref="B665" r:id="rId_hyperlink_1328" tooltip="DMN601WKQ Datasheet" display="DMN601WKQ Datasheet"/>
    <hyperlink ref="A666" r:id="rId_hyperlink_1329" tooltip="DMN6022SSD" display="DMN6022SSD"/>
    <hyperlink ref="B666" r:id="rId_hyperlink_1330" tooltip="DMN6022SSD Datasheet" display="DMN6022SSD Datasheet"/>
    <hyperlink ref="A667" r:id="rId_hyperlink_1331" tooltip="DMN6022SSS" display="DMN6022SSS"/>
    <hyperlink ref="B667" r:id="rId_hyperlink_1332" tooltip="DMN6022SSS Datasheet" display="DMN6022SSS Datasheet"/>
    <hyperlink ref="A668" r:id="rId_hyperlink_1333" tooltip="DMN6040SE" display="DMN6040SE"/>
    <hyperlink ref="B668" r:id="rId_hyperlink_1334" tooltip="DMN6040SE Datasheet" display="DMN6040SE Datasheet"/>
    <hyperlink ref="A669" r:id="rId_hyperlink_1335" tooltip="DMN6040SFDE" display="DMN6040SFDE"/>
    <hyperlink ref="B669" r:id="rId_hyperlink_1336" tooltip="DMN6040SFDE Datasheet" display="DMN6040SFDE Datasheet"/>
    <hyperlink ref="A670" r:id="rId_hyperlink_1337" tooltip="DMN6040SFDEQ" display="DMN6040SFDEQ"/>
    <hyperlink ref="B670" r:id="rId_hyperlink_1338" tooltip="DMN6040SFDEQ Datasheet" display="DMN6040SFDEQ Datasheet"/>
    <hyperlink ref="A671" r:id="rId_hyperlink_1339" tooltip="DMN6040SK3" display="DMN6040SK3"/>
    <hyperlink ref="B671" r:id="rId_hyperlink_1340" tooltip="DMN6040SK3 Datasheet" display="DMN6040SK3 Datasheet"/>
    <hyperlink ref="A672" r:id="rId_hyperlink_1341" tooltip="DMN6040SK3Q" display="DMN6040SK3Q"/>
    <hyperlink ref="B672" r:id="rId_hyperlink_1342" tooltip="DMN6040SK3Q Datasheet" display="DMN6040SK3Q Datasheet"/>
    <hyperlink ref="A673" r:id="rId_hyperlink_1343" tooltip="DMN6040SSD" display="DMN6040SSD"/>
    <hyperlink ref="B673" r:id="rId_hyperlink_1344" tooltip="DMN6040SSD Datasheet" display="DMN6040SSD Datasheet"/>
    <hyperlink ref="A674" r:id="rId_hyperlink_1345" tooltip="DMN6040SSDQ" display="DMN6040SSDQ"/>
    <hyperlink ref="B674" r:id="rId_hyperlink_1346" tooltip="DMN6040SSDQ Datasheet" display="DMN6040SSDQ Datasheet"/>
    <hyperlink ref="A675" r:id="rId_hyperlink_1347" tooltip="DMN6040SSS" display="DMN6040SSS"/>
    <hyperlink ref="B675" r:id="rId_hyperlink_1348" tooltip="DMN6040SSS Datasheet" display="DMN6040SSS Datasheet"/>
    <hyperlink ref="A676" r:id="rId_hyperlink_1349" tooltip="DMN6040SSSQ" display="DMN6040SSSQ"/>
    <hyperlink ref="B676" r:id="rId_hyperlink_1350" tooltip="DMN6040SSSQ Datasheet" display="DMN6040SSSQ Datasheet"/>
    <hyperlink ref="A677" r:id="rId_hyperlink_1351" tooltip="DMN6040SVT" display="DMN6040SVT"/>
    <hyperlink ref="B677" r:id="rId_hyperlink_1352" tooltip="DMN6040SVT Datasheet" display="DMN6040SVT Datasheet"/>
    <hyperlink ref="A678" r:id="rId_hyperlink_1353" tooltip="DMN6040SVTQ" display="DMN6040SVTQ"/>
    <hyperlink ref="B678" r:id="rId_hyperlink_1354" tooltip="DMN6040SVTQ Datasheet" display="DMN6040SVTQ Datasheet"/>
    <hyperlink ref="A679" r:id="rId_hyperlink_1355" tooltip="DMN6041SVT" display="DMN6041SVT"/>
    <hyperlink ref="B679" r:id="rId_hyperlink_1356" tooltip="DMN6041SVT Datasheet" display="DMN6041SVT Datasheet"/>
    <hyperlink ref="A680" r:id="rId_hyperlink_1357" tooltip="DMN6041SVTQ" display="DMN6041SVTQ"/>
    <hyperlink ref="B680" r:id="rId_hyperlink_1358" tooltip="DMN6041SVTQ Datasheet" display="DMN6041SVTQ Datasheet"/>
    <hyperlink ref="A681" r:id="rId_hyperlink_1359" tooltip="DMN6066SSD" display="DMN6066SSD"/>
    <hyperlink ref="B681" r:id="rId_hyperlink_1360" tooltip="DMN6066SSD Datasheet" display="DMN6066SSD Datasheet"/>
    <hyperlink ref="A682" r:id="rId_hyperlink_1361" tooltip="DMN6066SSS" display="DMN6066SSS"/>
    <hyperlink ref="B682" r:id="rId_hyperlink_1362" tooltip="DMN6066SSS Datasheet" display="DMN6066SSS Datasheet"/>
    <hyperlink ref="A683" r:id="rId_hyperlink_1363" tooltip="DMN6068LK3" display="DMN6068LK3"/>
    <hyperlink ref="B683" r:id="rId_hyperlink_1364" tooltip="DMN6068LK3 Datasheet" display="DMN6068LK3 Datasheet"/>
    <hyperlink ref="A684" r:id="rId_hyperlink_1365" tooltip="DMN6068LK3Q" display="DMN6068LK3Q"/>
    <hyperlink ref="B684" r:id="rId_hyperlink_1366" tooltip="DMN6068LK3Q Datasheet" display="DMN6068LK3Q Datasheet"/>
    <hyperlink ref="A685" r:id="rId_hyperlink_1367" tooltip="DMN6068SE" display="DMN6068SE"/>
    <hyperlink ref="B685" r:id="rId_hyperlink_1368" tooltip="DMN6068SE Datasheet" display="DMN6068SE Datasheet"/>
    <hyperlink ref="A686" r:id="rId_hyperlink_1369" tooltip="DMN6068SEQ" display="DMN6068SEQ"/>
    <hyperlink ref="B686" r:id="rId_hyperlink_1370" tooltip="DMN6068SEQ Datasheet" display="DMN6068SEQ Datasheet"/>
    <hyperlink ref="A687" r:id="rId_hyperlink_1371" tooltip="DMN6069SE" display="DMN6069SE"/>
    <hyperlink ref="B687" r:id="rId_hyperlink_1372" tooltip="DMN6069SE Datasheet" display="DMN6069SE Datasheet"/>
    <hyperlink ref="A688" r:id="rId_hyperlink_1373" tooltip="DMN6069SEQ" display="DMN6069SEQ"/>
    <hyperlink ref="B688" r:id="rId_hyperlink_1374" tooltip="DMN6069SEQ Datasheet" display="DMN6069SEQ Datasheet"/>
    <hyperlink ref="A689" r:id="rId_hyperlink_1375" tooltip="DMN6069SFG" display="DMN6069SFG"/>
    <hyperlink ref="B689" r:id="rId_hyperlink_1376" tooltip="DMN6069SFG Datasheet" display="DMN6069SFG Datasheet"/>
    <hyperlink ref="A690" r:id="rId_hyperlink_1377" tooltip="DMN6069SFGQ" display="DMN6069SFGQ"/>
    <hyperlink ref="B690" r:id="rId_hyperlink_1378" tooltip="DMN6069SFGQ Datasheet" display="DMN6069SFGQ Datasheet"/>
    <hyperlink ref="A691" r:id="rId_hyperlink_1379" tooltip="DMN6069SFVW" display="DMN6069SFVW"/>
    <hyperlink ref="B691" r:id="rId_hyperlink_1380" tooltip="DMN6069SFVW Datasheet" display="DMN6069SFVW Datasheet"/>
    <hyperlink ref="A692" r:id="rId_hyperlink_1381" tooltip="DMN6069SFVWQ" display="DMN6069SFVWQ"/>
    <hyperlink ref="B692" r:id="rId_hyperlink_1382" tooltip="DMN6069SFVWQ Datasheet" display="DMN6069SFVWQ Datasheet"/>
    <hyperlink ref="A693" r:id="rId_hyperlink_1383" tooltip="DMN6070SFCL" display="DMN6070SFCL"/>
    <hyperlink ref="B693" r:id="rId_hyperlink_1384" tooltip="DMN6070SFCL Datasheet" display="DMN6070SFCL Datasheet"/>
    <hyperlink ref="A694" r:id="rId_hyperlink_1385" tooltip="DMN6070SSD" display="DMN6070SSD"/>
    <hyperlink ref="B694" r:id="rId_hyperlink_1386" tooltip="DMN6070SSD Datasheet" display="DMN6070SSD Datasheet"/>
    <hyperlink ref="A695" r:id="rId_hyperlink_1387" tooltip="DMN6070SSDQ" display="DMN6070SSDQ"/>
    <hyperlink ref="B695" r:id="rId_hyperlink_1388" tooltip="DMN6070SSDQ Datasheet" display="DMN6070SSDQ Datasheet"/>
    <hyperlink ref="A696" r:id="rId_hyperlink_1389" tooltip="DMN6070SY" display="DMN6070SY"/>
    <hyperlink ref="B696" r:id="rId_hyperlink_1390" tooltip="DMN6070SY Datasheet" display="DMN6070SY Datasheet"/>
    <hyperlink ref="A697" r:id="rId_hyperlink_1391" tooltip="DMN6075S" display="DMN6075S"/>
    <hyperlink ref="B697" r:id="rId_hyperlink_1392" tooltip="DMN6075S Datasheet" display="DMN6075S Datasheet"/>
    <hyperlink ref="A698" r:id="rId_hyperlink_1393" tooltip="DMN6075SQ" display="DMN6075SQ"/>
    <hyperlink ref="B698" r:id="rId_hyperlink_1394" tooltip="DMN6075SQ Datasheet" display="DMN6075SQ Datasheet"/>
    <hyperlink ref="A699" r:id="rId_hyperlink_1395" tooltip="DMN60H080DS" display="DMN60H080DS"/>
    <hyperlink ref="B699" r:id="rId_hyperlink_1396" tooltip="DMN60H080DS Datasheet" display="DMN60H080DS Datasheet"/>
    <hyperlink ref="A700" r:id="rId_hyperlink_1397" tooltip="DMN6140L" display="DMN6140L"/>
    <hyperlink ref="B700" r:id="rId_hyperlink_1398" tooltip="DMN6140L Datasheet" display="DMN6140L Datasheet"/>
    <hyperlink ref="A701" r:id="rId_hyperlink_1399" tooltip="DMN6140LQ" display="DMN6140LQ"/>
    <hyperlink ref="B701" r:id="rId_hyperlink_1400" tooltip="DMN6140LQ Datasheet" display="DMN6140LQ Datasheet"/>
    <hyperlink ref="A702" r:id="rId_hyperlink_1401" tooltip="DMN61D8L" display="DMN61D8L"/>
    <hyperlink ref="B702" r:id="rId_hyperlink_1402" tooltip="DMN61D8L Datasheet" display="DMN61D8L Datasheet"/>
    <hyperlink ref="A703" r:id="rId_hyperlink_1403" tooltip="DMN61D8LQ" display="DMN61D8LQ"/>
    <hyperlink ref="B703" r:id="rId_hyperlink_1404" tooltip="DMN61D8LQ Datasheet" display="DMN61D8LQ Datasheet"/>
    <hyperlink ref="A704" r:id="rId_hyperlink_1405" tooltip="DMN61D8LVT" display="DMN61D8LVT"/>
    <hyperlink ref="B704" r:id="rId_hyperlink_1406" tooltip="DMN61D8LVT Datasheet" display="DMN61D8LVT Datasheet"/>
    <hyperlink ref="A705" r:id="rId_hyperlink_1407" tooltip="DMN61D8LVTQ" display="DMN61D8LVTQ"/>
    <hyperlink ref="B705" r:id="rId_hyperlink_1408" tooltip="DMN61D8LVTQ Datasheet" display="DMN61D8LVTQ Datasheet"/>
    <hyperlink ref="A706" r:id="rId_hyperlink_1409" tooltip="DMN61D9UDWQ" display="DMN61D9UDWQ"/>
    <hyperlink ref="B706" r:id="rId_hyperlink_1410" tooltip="DMN61D9UDWQ Datasheet" display="DMN61D9UDWQ Datasheet"/>
    <hyperlink ref="A707" r:id="rId_hyperlink_1411" tooltip="DMN62D0LFB" display="DMN62D0LFB"/>
    <hyperlink ref="B707" r:id="rId_hyperlink_1412" tooltip="DMN62D0LFB Datasheet" display="DMN62D0LFB Datasheet"/>
    <hyperlink ref="A708" r:id="rId_hyperlink_1413" tooltip="DMN62D0LFD" display="DMN62D0LFD"/>
    <hyperlink ref="B708" r:id="rId_hyperlink_1414" tooltip="DMN62D0LFD Datasheet" display="DMN62D0LFD Datasheet"/>
    <hyperlink ref="A709" r:id="rId_hyperlink_1415" tooltip="DMN62D0SFD" display="DMN62D0SFD"/>
    <hyperlink ref="B709" r:id="rId_hyperlink_1416" tooltip="DMN62D0SFD Datasheet" display="DMN62D0SFD Datasheet"/>
    <hyperlink ref="A710" r:id="rId_hyperlink_1417" tooltip="DMN62D0U" display="DMN62D0U"/>
    <hyperlink ref="B710" r:id="rId_hyperlink_1418" tooltip="DMN62D0U Datasheet" display="DMN62D0U Datasheet"/>
    <hyperlink ref="A711" r:id="rId_hyperlink_1419" tooltip="DMN62D0UDW" display="DMN62D0UDW"/>
    <hyperlink ref="B711" r:id="rId_hyperlink_1420" tooltip="DMN62D0UDW Datasheet" display="DMN62D0UDW Datasheet"/>
    <hyperlink ref="A712" r:id="rId_hyperlink_1421" tooltip="DMN62D0UDWQ" display="DMN62D0UDWQ"/>
    <hyperlink ref="B712" r:id="rId_hyperlink_1422" tooltip="DMN62D0UDWQ Datasheet" display="DMN62D0UDWQ Datasheet"/>
    <hyperlink ref="A713" r:id="rId_hyperlink_1423" tooltip="DMN62D0UT" display="DMN62D0UT"/>
    <hyperlink ref="B713" r:id="rId_hyperlink_1424" tooltip="DMN62D0UT Datasheet" display="DMN62D0UT Datasheet"/>
    <hyperlink ref="A714" r:id="rId_hyperlink_1425" tooltip="DMN62D0UV" display="DMN62D0UV"/>
    <hyperlink ref="B714" r:id="rId_hyperlink_1426" tooltip="DMN62D0UV Datasheet" display="DMN62D0UV Datasheet"/>
    <hyperlink ref="A715" r:id="rId_hyperlink_1427" tooltip="DMN62D1LFB" display="DMN62D1LFB"/>
    <hyperlink ref="B715" r:id="rId_hyperlink_1428" tooltip="DMN62D1LFB Datasheet" display="DMN62D1LFB Datasheet"/>
    <hyperlink ref="A716" r:id="rId_hyperlink_1429" tooltip="DMN62D1LFD" display="DMN62D1LFD"/>
    <hyperlink ref="B716" r:id="rId_hyperlink_1430" tooltip="DMN62D1LFD Datasheet" display="DMN62D1LFD Datasheet"/>
    <hyperlink ref="A717" r:id="rId_hyperlink_1431" tooltip="DMN62D1LFDQ" display="DMN62D1LFDQ"/>
    <hyperlink ref="B717" r:id="rId_hyperlink_1432" tooltip="DMN62D1LFDQ Datasheet" display="DMN62D1LFDQ Datasheet"/>
    <hyperlink ref="A718" r:id="rId_hyperlink_1433" tooltip="DMN62D1SFB" display="DMN62D1SFB"/>
    <hyperlink ref="B718" r:id="rId_hyperlink_1434" tooltip="DMN62D1SFB Datasheet" display="DMN62D1SFB Datasheet"/>
    <hyperlink ref="A719" r:id="rId_hyperlink_1435" tooltip="DMN62D1SFBW" display="DMN62D1SFBW"/>
    <hyperlink ref="B719" r:id="rId_hyperlink_1436" tooltip="DMN62D1SFBW Datasheet" display="DMN62D1SFBW Datasheet"/>
    <hyperlink ref="A720" r:id="rId_hyperlink_1437" tooltip="DMN62D1SFBWQ" display="DMN62D1SFBWQ"/>
    <hyperlink ref="B720" r:id="rId_hyperlink_1438" tooltip="DMN62D1SFBWQ Datasheet" display="DMN62D1SFBWQ Datasheet"/>
    <hyperlink ref="A721" r:id="rId_hyperlink_1439" tooltip="DMN62D2U" display="DMN62D2U"/>
    <hyperlink ref="B721" r:id="rId_hyperlink_1440" tooltip="DMN62D2U Datasheet" display="DMN62D2U Datasheet"/>
    <hyperlink ref="A722" r:id="rId_hyperlink_1441" tooltip="DMN62D2UDM" display="DMN62D2UDM"/>
    <hyperlink ref="B722" r:id="rId_hyperlink_1442" tooltip="DMN62D2UDM Datasheet" display="DMN62D2UDM Datasheet"/>
    <hyperlink ref="A723" r:id="rId_hyperlink_1443" tooltip="DMN62D2UDMQ" display="DMN62D2UDMQ"/>
    <hyperlink ref="B723" r:id="rId_hyperlink_1444" tooltip="DMN62D2UDMQ Datasheet" display="DMN62D2UDMQ Datasheet"/>
    <hyperlink ref="A724" r:id="rId_hyperlink_1445" tooltip="DMN62D2UDW" display="DMN62D2UDW"/>
    <hyperlink ref="B724" r:id="rId_hyperlink_1446" tooltip="DMN62D2UDW Datasheet" display="DMN62D2UDW Datasheet"/>
    <hyperlink ref="A725" r:id="rId_hyperlink_1447" tooltip="DMN62D2UDWQ" display="DMN62D2UDWQ"/>
    <hyperlink ref="B725" r:id="rId_hyperlink_1448" tooltip="DMN62D2UDWQ Datasheet" display="DMN62D2UDWQ Datasheet"/>
    <hyperlink ref="A726" r:id="rId_hyperlink_1449" tooltip="DMN62D2UQ" display="DMN62D2UQ"/>
    <hyperlink ref="B726" r:id="rId_hyperlink_1450" tooltip="DMN62D2UQ Datasheet" display="DMN62D2UQ Datasheet"/>
    <hyperlink ref="A727" r:id="rId_hyperlink_1451" tooltip="DMN62D2UT" display="DMN62D2UT"/>
    <hyperlink ref="B727" r:id="rId_hyperlink_1452" tooltip="DMN62D2UT Datasheet" display="DMN62D2UT Datasheet"/>
    <hyperlink ref="A728" r:id="rId_hyperlink_1453" tooltip="DMN62D2UTQ" display="DMN62D2UTQ"/>
    <hyperlink ref="B728" r:id="rId_hyperlink_1454" tooltip="DMN62D2UTQ Datasheet" display="DMN62D2UTQ Datasheet"/>
    <hyperlink ref="A729" r:id="rId_hyperlink_1455" tooltip="DMN62D2UV" display="DMN62D2UV"/>
    <hyperlink ref="B729" r:id="rId_hyperlink_1456" tooltip="DMN62D2UV Datasheet" display="DMN62D2UV Datasheet"/>
    <hyperlink ref="A730" r:id="rId_hyperlink_1457" tooltip="DMN62D2UVQ" display="DMN62D2UVQ"/>
    <hyperlink ref="B730" r:id="rId_hyperlink_1458" tooltip="DMN62D2UVQ Datasheet" display="DMN62D2UVQ Datasheet"/>
    <hyperlink ref="A731" r:id="rId_hyperlink_1459" tooltip="DMN62D2UVT" display="DMN62D2UVT"/>
    <hyperlink ref="B731" r:id="rId_hyperlink_1460" tooltip="DMN62D2UVT Datasheet" display="DMN62D2UVT Datasheet"/>
    <hyperlink ref="A732" r:id="rId_hyperlink_1461" tooltip="DMN62D2UVTQ" display="DMN62D2UVTQ"/>
    <hyperlink ref="B732" r:id="rId_hyperlink_1462" tooltip="DMN62D2UVTQ Datasheet" display="DMN62D2UVTQ Datasheet"/>
    <hyperlink ref="A733" r:id="rId_hyperlink_1463" tooltip="DMN62D2UW" display="DMN62D2UW"/>
    <hyperlink ref="B733" r:id="rId_hyperlink_1464" tooltip="DMN62D2UW Datasheet" display="DMN62D2UW Datasheet"/>
    <hyperlink ref="A734" r:id="rId_hyperlink_1465" tooltip="DMN62D2UWQ" display="DMN62D2UWQ"/>
    <hyperlink ref="B734" r:id="rId_hyperlink_1466" tooltip="DMN62D2UWQ Datasheet" display="DMN62D2UWQ Datasheet"/>
    <hyperlink ref="A735" r:id="rId_hyperlink_1467" tooltip="DMN62D4LDW" display="DMN62D4LDW"/>
    <hyperlink ref="B735" r:id="rId_hyperlink_1468" tooltip="DMN62D4LDW Datasheet" display="DMN62D4LDW Datasheet"/>
    <hyperlink ref="A736" r:id="rId_hyperlink_1469" tooltip="DMN62D4LFB" display="DMN62D4LFB"/>
    <hyperlink ref="B736" r:id="rId_hyperlink_1470" tooltip="DMN62D4LFB Datasheet" display="DMN62D4LFB Datasheet"/>
    <hyperlink ref="A737" r:id="rId_hyperlink_1471" tooltip="DMN63D1L" display="DMN63D1L"/>
    <hyperlink ref="B737" r:id="rId_hyperlink_1472" tooltip="DMN63D1L Datasheet" display="DMN63D1L Datasheet"/>
    <hyperlink ref="A738" r:id="rId_hyperlink_1473" tooltip="DMN63D1LDW" display="DMN63D1LDW"/>
    <hyperlink ref="B738" r:id="rId_hyperlink_1474" tooltip="DMN63D1LDW Datasheet" display="DMN63D1LDW Datasheet"/>
    <hyperlink ref="A739" r:id="rId_hyperlink_1475" tooltip="DMN63D1LT" display="DMN63D1LT"/>
    <hyperlink ref="B739" r:id="rId_hyperlink_1476" tooltip="DMN63D1LT Datasheet" display="DMN63D1LT Datasheet"/>
    <hyperlink ref="A740" r:id="rId_hyperlink_1477" tooltip="DMN63D1LV" display="DMN63D1LV"/>
    <hyperlink ref="B740" r:id="rId_hyperlink_1478" tooltip="DMN63D1LV Datasheet" display="DMN63D1LV Datasheet"/>
    <hyperlink ref="A741" r:id="rId_hyperlink_1479" tooltip="DMN63D1LVQ" display="DMN63D1LVQ"/>
    <hyperlink ref="B741" r:id="rId_hyperlink_1480" tooltip="DMN63D1LVQ Datasheet" display="DMN63D1LVQ Datasheet"/>
    <hyperlink ref="A742" r:id="rId_hyperlink_1481" tooltip="DMN63D1LW" display="DMN63D1LW"/>
    <hyperlink ref="B742" r:id="rId_hyperlink_1482" tooltip="DMN63D1LW Datasheet" display="DMN63D1LW Datasheet"/>
    <hyperlink ref="A743" r:id="rId_hyperlink_1483" tooltip="DMN63D8L" display="DMN63D8L"/>
    <hyperlink ref="B743" r:id="rId_hyperlink_1484" tooltip="DMN63D8L Datasheet" display="DMN63D8L Datasheet"/>
    <hyperlink ref="A744" r:id="rId_hyperlink_1485" tooltip="DMN63D8LDW" display="DMN63D8LDW"/>
    <hyperlink ref="B744" r:id="rId_hyperlink_1486" tooltip="DMN63D8LDW Datasheet" display="DMN63D8LDW Datasheet"/>
    <hyperlink ref="A745" r:id="rId_hyperlink_1487" tooltip="DMN63D8LV" display="DMN63D8LV"/>
    <hyperlink ref="B745" r:id="rId_hyperlink_1488" tooltip="DMN63D8LV Datasheet" display="DMN63D8LV Datasheet"/>
    <hyperlink ref="A746" r:id="rId_hyperlink_1489" tooltip="DMN63D8LW" display="DMN63D8LW"/>
    <hyperlink ref="B746" r:id="rId_hyperlink_1490" tooltip="DMN63D8LW Datasheet" display="DMN63D8LW Datasheet"/>
    <hyperlink ref="A747" r:id="rId_hyperlink_1491" tooltip="DMN65D7LFR4" display="DMN65D7LFR4"/>
    <hyperlink ref="B747" r:id="rId_hyperlink_1492" tooltip="DMN65D7LFR4 Datasheet" display="DMN65D7LFR4 Datasheet"/>
    <hyperlink ref="A748" r:id="rId_hyperlink_1493" tooltip="DMN65D8L" display="DMN65D8L"/>
    <hyperlink ref="B748" r:id="rId_hyperlink_1494" tooltip="DMN65D8L Datasheet" display="DMN65D8L Datasheet"/>
    <hyperlink ref="A749" r:id="rId_hyperlink_1495" tooltip="DMN65D8LDW" display="DMN65D8LDW"/>
    <hyperlink ref="B749" r:id="rId_hyperlink_1496" tooltip="DMN65D8LDW Datasheet" display="DMN65D8LDW Datasheet"/>
    <hyperlink ref="A750" r:id="rId_hyperlink_1497" tooltip="DMN65D8LDWQ" display="DMN65D8LDWQ"/>
    <hyperlink ref="B750" r:id="rId_hyperlink_1498" tooltip="DMN65D8LDWQ Datasheet" display="DMN65D8LDWQ Datasheet"/>
    <hyperlink ref="A751" r:id="rId_hyperlink_1499" tooltip="DMN65D8LFB" display="DMN65D8LFB"/>
    <hyperlink ref="B751" r:id="rId_hyperlink_1500" tooltip="DMN65D8LFB Datasheet" display="DMN65D8LFB Datasheet"/>
    <hyperlink ref="A752" r:id="rId_hyperlink_1501" tooltip="DMN65D8LQ" display="DMN65D8LQ"/>
    <hyperlink ref="B752" r:id="rId_hyperlink_1502" tooltip="DMN65D8LQ Datasheet" display="DMN65D8LQ Datasheet"/>
    <hyperlink ref="A753" r:id="rId_hyperlink_1503" tooltip="DMN65D8LT" display="DMN65D8LT"/>
    <hyperlink ref="B753" r:id="rId_hyperlink_1504" tooltip="DMN65D8LT Datasheet" display="DMN65D8LT Datasheet"/>
    <hyperlink ref="A754" r:id="rId_hyperlink_1505" tooltip="DMN65D8LW" display="DMN65D8LW"/>
    <hyperlink ref="B754" r:id="rId_hyperlink_1506" tooltip="DMN65D8LW Datasheet" display="DMN65D8LW Datasheet"/>
    <hyperlink ref="A755" r:id="rId_hyperlink_1507" tooltip="DMN65D9L" display="DMN65D9L"/>
    <hyperlink ref="B755" r:id="rId_hyperlink_1508" tooltip="DMN65D9L Datasheet" display="DMN65D9L Datasheet"/>
    <hyperlink ref="A756" r:id="rId_hyperlink_1509" tooltip="DMN66D0LDW" display="DMN66D0LDW"/>
    <hyperlink ref="B756" r:id="rId_hyperlink_1510" tooltip="DMN66D0LDW Datasheet" display="DMN66D0LDW Datasheet"/>
    <hyperlink ref="A757" r:id="rId_hyperlink_1511" tooltip="DMN66D0LDWQ" display="DMN66D0LDWQ"/>
    <hyperlink ref="B757" r:id="rId_hyperlink_1512" tooltip="DMN66D0LDWQ Datasheet" display="DMN66D0LDWQ Datasheet"/>
    <hyperlink ref="A758" r:id="rId_hyperlink_1513" tooltip="DMN66D0LT" display="DMN66D0LT"/>
    <hyperlink ref="B758" r:id="rId_hyperlink_1514" tooltip="DMN66D0LT Datasheet" display="DMN66D0LT Datasheet"/>
    <hyperlink ref="A759" r:id="rId_hyperlink_1515" tooltip="DMN67D7L" display="DMN67D7L"/>
    <hyperlink ref="B759" r:id="rId_hyperlink_1516" tooltip="DMN67D7L Datasheet" display="DMN67D7L Datasheet"/>
    <hyperlink ref="A760" r:id="rId_hyperlink_1517" tooltip="DMN67D8L" display="DMN67D8L"/>
    <hyperlink ref="B760" r:id="rId_hyperlink_1518" tooltip="DMN67D8L Datasheet" display="DMN67D8L Datasheet"/>
    <hyperlink ref="A761" r:id="rId_hyperlink_1519" tooltip="DMN67D8LDW" display="DMN67D8LDW"/>
    <hyperlink ref="B761" r:id="rId_hyperlink_1520" tooltip="DMN67D8LDW Datasheet" display="DMN67D8LDW Datasheet"/>
    <hyperlink ref="A762" r:id="rId_hyperlink_1521" tooltip="DMN67D8LT" display="DMN67D8LT"/>
    <hyperlink ref="B762" r:id="rId_hyperlink_1522" tooltip="DMN67D8LT Datasheet" display="DMN67D8LT Datasheet"/>
    <hyperlink ref="A763" r:id="rId_hyperlink_1523" tooltip="DMN67D8LW" display="DMN67D8LW"/>
    <hyperlink ref="B763" r:id="rId_hyperlink_1524" tooltip="DMN67D8LW Datasheet" display="DMN67D8LW Datasheet"/>
    <hyperlink ref="A764" r:id="rId_hyperlink_1525" tooltip="DMN68M7SCT" display="DMN68M7SCT"/>
    <hyperlink ref="B764" r:id="rId_hyperlink_1526" tooltip="DMN68M7SCT Datasheet" display="DMN68M7SCT Datasheet"/>
    <hyperlink ref="A765" r:id="rId_hyperlink_1527" tooltip="DMNH10H021SPSW" display="DMNH10H021SPSW"/>
    <hyperlink ref="B765" r:id="rId_hyperlink_1528" tooltip="DMNH10H021SPSW Datasheet" display="DMNH10H021SPSW Datasheet"/>
    <hyperlink ref="A766" r:id="rId_hyperlink_1529" tooltip="DMNH10H028SCT" display="DMNH10H028SCT"/>
    <hyperlink ref="B766" r:id="rId_hyperlink_1530" tooltip="DMNH10H028SCT Datasheet" display="DMNH10H028SCT Datasheet"/>
    <hyperlink ref="A767" r:id="rId_hyperlink_1531" tooltip="DMNH10H028SK3" display="DMNH10H028SK3"/>
    <hyperlink ref="B767" r:id="rId_hyperlink_1532" tooltip="DMNH10H028SK3 Datasheet" display="DMNH10H028SK3 Datasheet"/>
    <hyperlink ref="A768" r:id="rId_hyperlink_1533" tooltip="DMNH10H028SK3Q" display="DMNH10H028SK3Q"/>
    <hyperlink ref="B768" r:id="rId_hyperlink_1534" tooltip="DMNH10H028SK3Q Datasheet" display="DMNH10H028SK3Q Datasheet"/>
    <hyperlink ref="A769" r:id="rId_hyperlink_1535" tooltip="DMNH10H028SPS" display="DMNH10H028SPS"/>
    <hyperlink ref="B769" r:id="rId_hyperlink_1536" tooltip="DMNH10H028SPS Datasheet" display="DMNH10H028SPS Datasheet"/>
    <hyperlink ref="A770" r:id="rId_hyperlink_1537" tooltip="DMNH10H028SPSQ" display="DMNH10H028SPSQ"/>
    <hyperlink ref="B770" r:id="rId_hyperlink_1538" tooltip="DMNH10H028SPSQ Datasheet" display="DMNH10H028SPSQ Datasheet"/>
    <hyperlink ref="A771" r:id="rId_hyperlink_1539" tooltip="DMNH10H028SPSWQ" display="DMNH10H028SPSWQ"/>
    <hyperlink ref="B771" r:id="rId_hyperlink_1540" tooltip="DMNH10H028SPSWQ Datasheet" display="DMNH10H028SPSWQ Datasheet"/>
    <hyperlink ref="A772" r:id="rId_hyperlink_1541" tooltip="DMNH3010LK3" display="DMNH3010LK3"/>
    <hyperlink ref="B772" r:id="rId_hyperlink_1542" tooltip="DMNH3010LK3 Datasheet" display="DMNH3010LK3 Datasheet"/>
    <hyperlink ref="A773" r:id="rId_hyperlink_1543" tooltip="DMNH4004SPS" display="DMNH4004SPS"/>
    <hyperlink ref="B773" r:id="rId_hyperlink_1544" tooltip="DMNH4004SPS Datasheet" display="DMNH4004SPS Datasheet"/>
    <hyperlink ref="A774" r:id="rId_hyperlink_1545" tooltip="DMNH4005SCT" display="DMNH4005SCT"/>
    <hyperlink ref="B774" r:id="rId_hyperlink_1546" tooltip="DMNH4005SCT Datasheet" display="DMNH4005SCT Datasheet"/>
    <hyperlink ref="A775" r:id="rId_hyperlink_1547" tooltip="DMNH4005SCTQ" display="DMNH4005SCTQ"/>
    <hyperlink ref="B775" r:id="rId_hyperlink_1548" tooltip="DMNH4005SCTQ Datasheet" display="DMNH4005SCTQ Datasheet"/>
    <hyperlink ref="A776" r:id="rId_hyperlink_1549" tooltip="DMNH4005SPS" display="DMNH4005SPS"/>
    <hyperlink ref="B776" r:id="rId_hyperlink_1550" tooltip="DMNH4005SPS Datasheet" display="DMNH4005SPS Datasheet"/>
    <hyperlink ref="A777" r:id="rId_hyperlink_1551" tooltip="DMNH4005SPSQ" display="DMNH4005SPSQ"/>
    <hyperlink ref="B777" r:id="rId_hyperlink_1552" tooltip="DMNH4005SPSQ Datasheet" display="DMNH4005SPSQ Datasheet"/>
    <hyperlink ref="A778" r:id="rId_hyperlink_1553" tooltip="DMNH4005SPSWQ" display="DMNH4005SPSWQ"/>
    <hyperlink ref="B778" r:id="rId_hyperlink_1554" tooltip="DMNH4005SPSWQ Datasheet" display="DMNH4005SPSWQ Datasheet"/>
    <hyperlink ref="A779" r:id="rId_hyperlink_1555" tooltip="DMNH4006SK3" display="DMNH4006SK3"/>
    <hyperlink ref="B779" r:id="rId_hyperlink_1556" tooltip="DMNH4006SK3 Datasheet" display="DMNH4006SK3 Datasheet"/>
    <hyperlink ref="A780" r:id="rId_hyperlink_1557" tooltip="DMNH4006SK3Q" display="DMNH4006SK3Q"/>
    <hyperlink ref="B780" r:id="rId_hyperlink_1558" tooltip="DMNH4006SK3Q Datasheet" display="DMNH4006SK3Q Datasheet"/>
    <hyperlink ref="A781" r:id="rId_hyperlink_1559" tooltip="DMNH4006SPS" display="DMNH4006SPS"/>
    <hyperlink ref="B781" r:id="rId_hyperlink_1560" tooltip="DMNH4006SPS Datasheet" display="DMNH4006SPS Datasheet"/>
    <hyperlink ref="A782" r:id="rId_hyperlink_1561" tooltip="DMNH4006SPSQ" display="DMNH4006SPSQ"/>
    <hyperlink ref="B782" r:id="rId_hyperlink_1562" tooltip="DMNH4006SPSQ Datasheet" display="DMNH4006SPSQ Datasheet"/>
    <hyperlink ref="A783" r:id="rId_hyperlink_1563" tooltip="DMNH4006SPSWQ" display="DMNH4006SPSWQ"/>
    <hyperlink ref="B783" r:id="rId_hyperlink_1564" tooltip="DMNH4006SPSWQ Datasheet" display="DMNH4006SPSWQ Datasheet"/>
    <hyperlink ref="A784" r:id="rId_hyperlink_1565" tooltip="DMNH4011SK3Q" display="DMNH4011SK3Q"/>
    <hyperlink ref="B784" r:id="rId_hyperlink_1566" tooltip="DMNH4011SK3Q Datasheet" display="DMNH4011SK3Q Datasheet"/>
    <hyperlink ref="A785" r:id="rId_hyperlink_1567" tooltip="DMNH4011SPS" display="DMNH4011SPS"/>
    <hyperlink ref="B785" r:id="rId_hyperlink_1568" tooltip="DMNH4011SPS Datasheet" display="DMNH4011SPS Datasheet"/>
    <hyperlink ref="A786" r:id="rId_hyperlink_1569" tooltip="DMNH4011SPSQ" display="DMNH4011SPSQ"/>
    <hyperlink ref="B786" r:id="rId_hyperlink_1570" tooltip="DMNH4011SPSQ Datasheet" display="DMNH4011SPSQ Datasheet"/>
    <hyperlink ref="A787" r:id="rId_hyperlink_1571" tooltip="DMNH4011SPSWQ" display="DMNH4011SPSWQ"/>
    <hyperlink ref="B787" r:id="rId_hyperlink_1572" tooltip="DMNH4011SPSWQ Datasheet" display="DMNH4011SPSWQ Datasheet"/>
    <hyperlink ref="A788" r:id="rId_hyperlink_1573" tooltip="DMNH4015SSD" display="DMNH4015SSD"/>
    <hyperlink ref="B788" r:id="rId_hyperlink_1574" tooltip="DMNH4015SSD Datasheet" display="DMNH4015SSD Datasheet"/>
    <hyperlink ref="A789" r:id="rId_hyperlink_1575" tooltip="DMNH4015SSDQ" display="DMNH4015SSDQ"/>
    <hyperlink ref="B789" r:id="rId_hyperlink_1576" tooltip="DMNH4015SSDQ Datasheet" display="DMNH4015SSDQ Datasheet"/>
    <hyperlink ref="A790" r:id="rId_hyperlink_1577" tooltip="DMNH4026SSD" display="DMNH4026SSD"/>
    <hyperlink ref="B790" r:id="rId_hyperlink_1578" tooltip="DMNH4026SSD Datasheet" display="DMNH4026SSD Datasheet"/>
    <hyperlink ref="A791" r:id="rId_hyperlink_1579" tooltip="DMNH4026SSDQ" display="DMNH4026SSDQ"/>
    <hyperlink ref="B791" r:id="rId_hyperlink_1580" tooltip="DMNH4026SSDQ Datasheet" display="DMNH4026SSDQ Datasheet"/>
    <hyperlink ref="A792" r:id="rId_hyperlink_1581" tooltip="DMNH45M7SCT" display="DMNH45M7SCT"/>
    <hyperlink ref="B792" r:id="rId_hyperlink_1582" tooltip="DMNH45M7SCT Datasheet" display="DMNH45M7SCT Datasheet"/>
    <hyperlink ref="A793" r:id="rId_hyperlink_1583" tooltip="DMNH6008SCT" display="DMNH6008SCT"/>
    <hyperlink ref="B793" r:id="rId_hyperlink_1584" tooltip="DMNH6008SCT Datasheet" display="DMNH6008SCT Datasheet"/>
    <hyperlink ref="A794" r:id="rId_hyperlink_1585" tooltip="DMNH6008SCTQ" display="DMNH6008SCTQ"/>
    <hyperlink ref="B794" r:id="rId_hyperlink_1586" tooltip="DMNH6008SCTQ Datasheet" display="DMNH6008SCTQ Datasheet"/>
    <hyperlink ref="A795" r:id="rId_hyperlink_1587" tooltip="DMNH6008SPS" display="DMNH6008SPS"/>
    <hyperlink ref="B795" r:id="rId_hyperlink_1588" tooltip="DMNH6008SPS Datasheet" display="DMNH6008SPS Datasheet"/>
    <hyperlink ref="A796" r:id="rId_hyperlink_1589" tooltip="DMNH6008SPSQ" display="DMNH6008SPSQ"/>
    <hyperlink ref="B796" r:id="rId_hyperlink_1590" tooltip="DMNH6008SPSQ Datasheet" display="DMNH6008SPSQ Datasheet"/>
    <hyperlink ref="A797" r:id="rId_hyperlink_1591" tooltip="DMNH6008SPSWQ" display="DMNH6008SPSWQ"/>
    <hyperlink ref="B797" r:id="rId_hyperlink_1592" tooltip="DMNH6008SPSWQ Datasheet" display="DMNH6008SPSWQ Datasheet"/>
    <hyperlink ref="A798" r:id="rId_hyperlink_1593" tooltip="DMNH6009SPS" display="DMNH6009SPS"/>
    <hyperlink ref="B798" r:id="rId_hyperlink_1594" tooltip="DMNH6009SPS Datasheet" display="DMNH6009SPS Datasheet"/>
    <hyperlink ref="A799" r:id="rId_hyperlink_1595" tooltip="DMNH6010SCTB" display="DMNH6010SCTB"/>
    <hyperlink ref="B799" r:id="rId_hyperlink_1596" tooltip="DMNH6010SCTB Datasheet" display="DMNH6010SCTB Datasheet"/>
    <hyperlink ref="A800" r:id="rId_hyperlink_1597" tooltip="DMNH6010SCTBQ" display="DMNH6010SCTBQ"/>
    <hyperlink ref="B800" r:id="rId_hyperlink_1598" tooltip="DMNH6010SCTBQ Datasheet" display="DMNH6010SCTBQ Datasheet"/>
    <hyperlink ref="A801" r:id="rId_hyperlink_1599" tooltip="DMNH6011LK3" display="DMNH6011LK3"/>
    <hyperlink ref="B801" r:id="rId_hyperlink_1600" tooltip="DMNH6011LK3 Datasheet" display="DMNH6011LK3 Datasheet"/>
    <hyperlink ref="A802" r:id="rId_hyperlink_1601" tooltip="DMNH6011LK3Q" display="DMNH6011LK3Q"/>
    <hyperlink ref="B802" r:id="rId_hyperlink_1602" tooltip="DMNH6011LK3Q Datasheet" display="DMNH6011LK3Q Datasheet"/>
    <hyperlink ref="A803" r:id="rId_hyperlink_1603" tooltip="DMNH6012LK3" display="DMNH6012LK3"/>
    <hyperlink ref="B803" r:id="rId_hyperlink_1604" tooltip="DMNH6012LK3 Datasheet" display="DMNH6012LK3 Datasheet"/>
    <hyperlink ref="A804" r:id="rId_hyperlink_1605" tooltip="DMNH6012LK3Q" display="DMNH6012LK3Q"/>
    <hyperlink ref="B804" r:id="rId_hyperlink_1606" tooltip="DMNH6012LK3Q Datasheet" display="DMNH6012LK3Q Datasheet"/>
    <hyperlink ref="A805" r:id="rId_hyperlink_1607" tooltip="DMNH6012SPS" display="DMNH6012SPS"/>
    <hyperlink ref="B805" r:id="rId_hyperlink_1608" tooltip="DMNH6012SPS Datasheet" display="DMNH6012SPS Datasheet"/>
    <hyperlink ref="A806" r:id="rId_hyperlink_1609" tooltip="DMNH6012SPSQ" display="DMNH6012SPSQ"/>
    <hyperlink ref="B806" r:id="rId_hyperlink_1610" tooltip="DMNH6012SPSQ Datasheet" display="DMNH6012SPSQ Datasheet"/>
    <hyperlink ref="A807" r:id="rId_hyperlink_1611" tooltip="DMNH6012SPSWQ" display="DMNH6012SPSWQ"/>
    <hyperlink ref="B807" r:id="rId_hyperlink_1612" tooltip="DMNH6012SPSWQ Datasheet" display="DMNH6012SPSWQ Datasheet"/>
    <hyperlink ref="A808" r:id="rId_hyperlink_1613" tooltip="DMNH6021SK3" display="DMNH6021SK3"/>
    <hyperlink ref="B808" r:id="rId_hyperlink_1614" tooltip="DMNH6021SK3 Datasheet" display="DMNH6021SK3 Datasheet"/>
    <hyperlink ref="A809" r:id="rId_hyperlink_1615" tooltip="DMNH6021SK3Q" display="DMNH6021SK3Q"/>
    <hyperlink ref="B809" r:id="rId_hyperlink_1616" tooltip="DMNH6021SK3Q Datasheet" display="DMNH6021SK3Q Datasheet"/>
    <hyperlink ref="A810" r:id="rId_hyperlink_1617" tooltip="DMNH6021SPD" display="DMNH6021SPD"/>
    <hyperlink ref="B810" r:id="rId_hyperlink_1618" tooltip="DMNH6021SPD Datasheet" display="DMNH6021SPD Datasheet"/>
    <hyperlink ref="A811" r:id="rId_hyperlink_1619" tooltip="DMNH6021SPDQ" display="DMNH6021SPDQ"/>
    <hyperlink ref="B811" r:id="rId_hyperlink_1620" tooltip="DMNH6021SPDQ Datasheet" display="DMNH6021SPDQ Datasheet"/>
    <hyperlink ref="A812" r:id="rId_hyperlink_1621" tooltip="DMNH6021SPDW" display="DMNH6021SPDW"/>
    <hyperlink ref="B812" r:id="rId_hyperlink_1622" tooltip="DMNH6021SPDW Datasheet" display="DMNH6021SPDW Datasheet"/>
    <hyperlink ref="A813" r:id="rId_hyperlink_1623" tooltip="DMNH6021SPDWQ" display="DMNH6021SPDWQ"/>
    <hyperlink ref="B813" r:id="rId_hyperlink_1624" tooltip="DMNH6021SPDWQ Datasheet" display="DMNH6021SPDWQ Datasheet"/>
    <hyperlink ref="A814" r:id="rId_hyperlink_1625" tooltip="DMNH6021SPS" display="DMNH6021SPS"/>
    <hyperlink ref="B814" r:id="rId_hyperlink_1626" tooltip="DMNH6021SPS Datasheet" display="DMNH6021SPS Datasheet"/>
    <hyperlink ref="A815" r:id="rId_hyperlink_1627" tooltip="DMNH6021SPSQ" display="DMNH6021SPSQ"/>
    <hyperlink ref="B815" r:id="rId_hyperlink_1628" tooltip="DMNH6021SPSQ Datasheet" display="DMNH6021SPSQ Datasheet"/>
    <hyperlink ref="A816" r:id="rId_hyperlink_1629" tooltip="DMNH6021SPSW" display="DMNH6021SPSW"/>
    <hyperlink ref="B816" r:id="rId_hyperlink_1630" tooltip="DMNH6021SPSW Datasheet" display="DMNH6021SPSW Datasheet"/>
    <hyperlink ref="A817" r:id="rId_hyperlink_1631" tooltip="DMNH6021SPSWQ" display="DMNH6021SPSWQ"/>
    <hyperlink ref="B817" r:id="rId_hyperlink_1632" tooltip="DMNH6021SPSWQ Datasheet" display="DMNH6021SPSWQ Datasheet"/>
    <hyperlink ref="A818" r:id="rId_hyperlink_1633" tooltip="DMNH6022SSD" display="DMNH6022SSD"/>
    <hyperlink ref="B818" r:id="rId_hyperlink_1634" tooltip="DMNH6022SSD Datasheet" display="DMNH6022SSD Datasheet"/>
    <hyperlink ref="A819" r:id="rId_hyperlink_1635" tooltip="DMNH6022SSDQ" display="DMNH6022SSDQ"/>
    <hyperlink ref="B819" r:id="rId_hyperlink_1636" tooltip="DMNH6022SSDQ Datasheet" display="DMNH6022SSDQ Datasheet"/>
    <hyperlink ref="A820" r:id="rId_hyperlink_1637" tooltip="DMNH6035SPDW" display="DMNH6035SPDW"/>
    <hyperlink ref="B820" r:id="rId_hyperlink_1638" tooltip="DMNH6035SPDW Datasheet" display="DMNH6035SPDW Datasheet"/>
    <hyperlink ref="A821" r:id="rId_hyperlink_1639" tooltip="DMNH6035SPDWQ" display="DMNH6035SPDWQ"/>
    <hyperlink ref="B821" r:id="rId_hyperlink_1640" tooltip="DMNH6035SPDWQ Datasheet" display="DMNH6035SPDWQ Datasheet"/>
    <hyperlink ref="A822" r:id="rId_hyperlink_1641" tooltip="DMNH6042SK3" display="DMNH6042SK3"/>
    <hyperlink ref="B822" r:id="rId_hyperlink_1642" tooltip="DMNH6042SK3 Datasheet" display="DMNH6042SK3 Datasheet"/>
    <hyperlink ref="A823" r:id="rId_hyperlink_1643" tooltip="DMNH6042SK3Q" display="DMNH6042SK3Q"/>
    <hyperlink ref="B823" r:id="rId_hyperlink_1644" tooltip="DMNH6042SK3Q Datasheet" display="DMNH6042SK3Q Datasheet"/>
    <hyperlink ref="A824" r:id="rId_hyperlink_1645" tooltip="DMNH6042SPD" display="DMNH6042SPD"/>
    <hyperlink ref="B824" r:id="rId_hyperlink_1646" tooltip="DMNH6042SPD Datasheet" display="DMNH6042SPD Datasheet"/>
    <hyperlink ref="A825" r:id="rId_hyperlink_1647" tooltip="DMNH6042SPDQ" display="DMNH6042SPDQ"/>
    <hyperlink ref="B825" r:id="rId_hyperlink_1648" tooltip="DMNH6042SPDQ Datasheet" display="DMNH6042SPDQ Datasheet"/>
    <hyperlink ref="A826" r:id="rId_hyperlink_1649" tooltip="DMNH6042SPS" display="DMNH6042SPS"/>
    <hyperlink ref="B826" r:id="rId_hyperlink_1650" tooltip="DMNH6042SPS Datasheet" display="DMNH6042SPS Datasheet"/>
    <hyperlink ref="A827" r:id="rId_hyperlink_1651" tooltip="DMNH6042SPSQ" display="DMNH6042SPSQ"/>
    <hyperlink ref="B827" r:id="rId_hyperlink_1652" tooltip="DMNH6042SPSQ Datasheet" display="DMNH6042SPSQ Datasheet"/>
    <hyperlink ref="A828" r:id="rId_hyperlink_1653" tooltip="DMNH6042SPSWQ" display="DMNH6042SPSWQ"/>
    <hyperlink ref="B828" r:id="rId_hyperlink_1654" tooltip="DMNH6042SPSWQ Datasheet" display="DMNH6042SPSWQ Datasheet"/>
    <hyperlink ref="A829" r:id="rId_hyperlink_1655" tooltip="DMNH6042SSD" display="DMNH6042SSD"/>
    <hyperlink ref="B829" r:id="rId_hyperlink_1656" tooltip="DMNH6042SSD Datasheet" display="DMNH6042SSD Datasheet"/>
    <hyperlink ref="A830" r:id="rId_hyperlink_1657" tooltip="DMNH6042SSDQ" display="DMNH6042SSDQ"/>
    <hyperlink ref="B830" r:id="rId_hyperlink_1658" tooltip="DMNH6042SSDQ Datasheet" display="DMNH6042SSDQ Datasheet"/>
    <hyperlink ref="A831" r:id="rId_hyperlink_1659" tooltip="DMNH6065SPDW" display="DMNH6065SPDW"/>
    <hyperlink ref="B831" r:id="rId_hyperlink_1660" tooltip="DMNH6065SPDW Datasheet" display="DMNH6065SPDW Datasheet"/>
    <hyperlink ref="A832" r:id="rId_hyperlink_1661" tooltip="DMNH6065SPDWQ" display="DMNH6065SPDWQ"/>
    <hyperlink ref="B832" r:id="rId_hyperlink_1662" tooltip="DMNH6065SPDWQ Datasheet" display="DMNH6065SPDWQ Datasheet"/>
    <hyperlink ref="A833" r:id="rId_hyperlink_1663" tooltip="DMNH6065SSD" display="DMNH6065SSD"/>
    <hyperlink ref="B833" r:id="rId_hyperlink_1664" tooltip="DMNH6065SSD Datasheet" display="DMNH6065SSD Datasheet"/>
    <hyperlink ref="A834" r:id="rId_hyperlink_1665" tooltip="DMNH6065SSDQ" display="DMNH6065SSDQ"/>
    <hyperlink ref="B834" r:id="rId_hyperlink_1666" tooltip="DMNH6065SSDQ Datasheet" display="DMNH6065SSDQ Datasheet"/>
    <hyperlink ref="A835" r:id="rId_hyperlink_1667" tooltip="DMNH6069SFVW" display="DMNH6069SFVW"/>
    <hyperlink ref="B835" r:id="rId_hyperlink_1668" tooltip="DMNH6069SFVW Datasheet" display="DMNH6069SFVW Datasheet"/>
    <hyperlink ref="A836" r:id="rId_hyperlink_1669" tooltip="DMNH6069SFVWQ" display="DMNH6069SFVWQ"/>
    <hyperlink ref="B836" r:id="rId_hyperlink_1670" tooltip="DMNH6069SFVWQ Datasheet" display="DMNH6069SFVWQ Datasheet"/>
    <hyperlink ref="A837" r:id="rId_hyperlink_1671" tooltip="DMP1005UFDF" display="DMP1005UFDF"/>
    <hyperlink ref="B837" r:id="rId_hyperlink_1672" tooltip="DMP1005UFDF Datasheet" display="DMP1005UFDF Datasheet"/>
    <hyperlink ref="A838" r:id="rId_hyperlink_1673" tooltip="DMP1007UCB9" display="DMP1007UCB9"/>
    <hyperlink ref="B838" r:id="rId_hyperlink_1674" tooltip="DMP1007UCB9 Datasheet" display="DMP1007UCB9 Datasheet"/>
    <hyperlink ref="A839" r:id="rId_hyperlink_1675" tooltip="DMP1008UCA9" display="DMP1008UCA9"/>
    <hyperlink ref="B839" r:id="rId_hyperlink_1676" tooltip="DMP1008UCA9 Datasheet" display="DMP1008UCA9 Datasheet"/>
    <hyperlink ref="A840" r:id="rId_hyperlink_1677" tooltip="DMP1008UCB9" display="DMP1008UCB9"/>
    <hyperlink ref="B840" r:id="rId_hyperlink_1678" tooltip="DMP1008UCB9 Datasheet" display="DMP1008UCB9 Datasheet"/>
    <hyperlink ref="A841" r:id="rId_hyperlink_1679" tooltip="DMP1009UFDF" display="DMP1009UFDF"/>
    <hyperlink ref="B841" r:id="rId_hyperlink_1680" tooltip="DMP1009UFDF Datasheet" display="DMP1009UFDF Datasheet"/>
    <hyperlink ref="A842" r:id="rId_hyperlink_1681" tooltip="DMP1009UFDFQ" display="DMP1009UFDFQ"/>
    <hyperlink ref="B842" r:id="rId_hyperlink_1682" tooltip="DMP1009UFDFQ Datasheet" display="DMP1009UFDFQ Datasheet"/>
    <hyperlink ref="A843" r:id="rId_hyperlink_1683" tooltip="DMP1010UCA4" display="DMP1010UCA4"/>
    <hyperlink ref="B843" r:id="rId_hyperlink_1684" tooltip="DMP1010UCA4 Datasheet" display="DMP1010UCA4 Datasheet"/>
    <hyperlink ref="A844" r:id="rId_hyperlink_1685" tooltip="DMP1011LFV" display="DMP1011LFV"/>
    <hyperlink ref="B844" r:id="rId_hyperlink_1686" tooltip="DMP1011LFV Datasheet" display="DMP1011LFV Datasheet"/>
    <hyperlink ref="A845" r:id="rId_hyperlink_1687" tooltip="DMP1011LFVQ" display="DMP1011LFVQ"/>
    <hyperlink ref="B845" r:id="rId_hyperlink_1688" tooltip="DMP1011LFVQ Datasheet" display="DMP1011LFVQ Datasheet"/>
    <hyperlink ref="A846" r:id="rId_hyperlink_1689" tooltip="DMP1011UCB9" display="DMP1011UCB9"/>
    <hyperlink ref="B846" r:id="rId_hyperlink_1690" tooltip="DMP1011UCB9 Datasheet" display="DMP1011UCB9 Datasheet"/>
    <hyperlink ref="A847" r:id="rId_hyperlink_1691" tooltip="DMP1012UFDF" display="DMP1012UFDF"/>
    <hyperlink ref="B847" r:id="rId_hyperlink_1692" tooltip="DMP1012UFDF Datasheet" display="DMP1012UFDF Datasheet"/>
    <hyperlink ref="A848" r:id="rId_hyperlink_1693" tooltip="DMP1012USS" display="DMP1012USS"/>
    <hyperlink ref="B848" r:id="rId_hyperlink_1694" tooltip="DMP1012USS Datasheet" display="DMP1012USS Datasheet"/>
    <hyperlink ref="A849" r:id="rId_hyperlink_1695" tooltip="DMP1012USSQ" display="DMP1012USSQ"/>
    <hyperlink ref="B849" r:id="rId_hyperlink_1696" tooltip="DMP1012USSQ Datasheet" display="DMP1012USSQ Datasheet"/>
    <hyperlink ref="A850" r:id="rId_hyperlink_1697" tooltip="DMP1022UFDEQ" display="DMP1022UFDEQ"/>
    <hyperlink ref="B850" r:id="rId_hyperlink_1698" tooltip="DMP1022UFDEQ Datasheet" display="DMP1022UFDEQ Datasheet"/>
    <hyperlink ref="A851" r:id="rId_hyperlink_1699" tooltip="DMP1022UFDF" display="DMP1022UFDF"/>
    <hyperlink ref="B851" r:id="rId_hyperlink_1700" tooltip="DMP1022UFDF Datasheet" display="DMP1022UFDF Datasheet"/>
    <hyperlink ref="A852" r:id="rId_hyperlink_1701" tooltip="DMP1022UWS" display="DMP1022UWS"/>
    <hyperlink ref="B852" r:id="rId_hyperlink_1702" tooltip="DMP1022UWS Datasheet" display="DMP1022UWS Datasheet"/>
    <hyperlink ref="A853" r:id="rId_hyperlink_1703" tooltip="DMP1045U" display="DMP1045U"/>
    <hyperlink ref="B853" r:id="rId_hyperlink_1704" tooltip="DMP1045U Datasheet" display="DMP1045U Datasheet"/>
    <hyperlink ref="A854" r:id="rId_hyperlink_1705" tooltip="DMP1045UCB4" display="DMP1045UCB4"/>
    <hyperlink ref="B854" r:id="rId_hyperlink_1706" tooltip="DMP1045UCB4 Datasheet" display="DMP1045UCB4 Datasheet"/>
    <hyperlink ref="A855" r:id="rId_hyperlink_1707" tooltip="DMP1045UFY4" display="DMP1045UFY4"/>
    <hyperlink ref="B855" r:id="rId_hyperlink_1708" tooltip="DMP1045UFY4 Datasheet" display="DMP1045UFY4 Datasheet"/>
    <hyperlink ref="A856" r:id="rId_hyperlink_1709" tooltip="DMP1045UQ" display="DMP1045UQ"/>
    <hyperlink ref="B856" r:id="rId_hyperlink_1710" tooltip="DMP1045UQ Datasheet" display="DMP1045UQ Datasheet"/>
    <hyperlink ref="A857" r:id="rId_hyperlink_1711" tooltip="DMP1046UFDB" display="DMP1046UFDB"/>
    <hyperlink ref="B857" r:id="rId_hyperlink_1712" tooltip="DMP1046UFDB Datasheet" display="DMP1046UFDB Datasheet"/>
    <hyperlink ref="A858" r:id="rId_hyperlink_1713" tooltip="DMP1055UFDB" display="DMP1055UFDB"/>
    <hyperlink ref="B858" r:id="rId_hyperlink_1714" tooltip="DMP1055UFDB Datasheet" display="DMP1055UFDB Datasheet"/>
    <hyperlink ref="A859" r:id="rId_hyperlink_1715" tooltip="DMP1055USW" display="DMP1055USW"/>
    <hyperlink ref="B859" r:id="rId_hyperlink_1716" tooltip="DMP1055USW Datasheet" display="DMP1055USW Datasheet"/>
    <hyperlink ref="A860" r:id="rId_hyperlink_1717" tooltip="DMP1070U" display="DMP1070U"/>
    <hyperlink ref="B860" r:id="rId_hyperlink_1718" tooltip="DMP1070U Datasheet" display="DMP1070U Datasheet"/>
    <hyperlink ref="A861" r:id="rId_hyperlink_1719" tooltip="DMP1070UCA3" display="DMP1070UCA3"/>
    <hyperlink ref="B861" r:id="rId_hyperlink_1720" tooltip="DMP1070UCA3 Datasheet" display="DMP1070UCA3 Datasheet"/>
    <hyperlink ref="A862" r:id="rId_hyperlink_1721" tooltip="DMP1070UQ" display="DMP1070UQ"/>
    <hyperlink ref="B862" r:id="rId_hyperlink_1722" tooltip="DMP1070UQ Datasheet" display="DMP1070UQ Datasheet"/>
    <hyperlink ref="A863" r:id="rId_hyperlink_1723" tooltip="DMP10H088SPS" display="DMP10H088SPS"/>
    <hyperlink ref="B863" r:id="rId_hyperlink_1724" tooltip="DMP10H088SPS Datasheet" display="DMP10H088SPS Datasheet"/>
    <hyperlink ref="A864" r:id="rId_hyperlink_1725" tooltip="DMP10H400SE" display="DMP10H400SE"/>
    <hyperlink ref="B864" r:id="rId_hyperlink_1726" tooltip="DMP10H400SE Datasheet" display="DMP10H400SE Datasheet"/>
    <hyperlink ref="A865" r:id="rId_hyperlink_1727" tooltip="DMP10H400SEQ" display="DMP10H400SEQ"/>
    <hyperlink ref="B865" r:id="rId_hyperlink_1728" tooltip="DMP10H400SEQ Datasheet" display="DMP10H400SEQ Datasheet"/>
    <hyperlink ref="A866" r:id="rId_hyperlink_1729" tooltip="DMP10H400SK3" display="DMP10H400SK3"/>
    <hyperlink ref="B866" r:id="rId_hyperlink_1730" tooltip="DMP10H400SK3 Datasheet" display="DMP10H400SK3 Datasheet"/>
    <hyperlink ref="A867" r:id="rId_hyperlink_1731" tooltip="DMP10H4D2S" display="DMP10H4D2S"/>
    <hyperlink ref="B867" r:id="rId_hyperlink_1732" tooltip="DMP10H4D2S Datasheet" display="DMP10H4D2S Datasheet"/>
    <hyperlink ref="A868" r:id="rId_hyperlink_1733" tooltip="DMP10H4D2SQ" display="DMP10H4D2SQ"/>
    <hyperlink ref="B868" r:id="rId_hyperlink_1734" tooltip="DMP10H4D2SQ Datasheet" display="DMP10H4D2SQ Datasheet"/>
    <hyperlink ref="A869" r:id="rId_hyperlink_1735" tooltip="DMP1100UCB4" display="DMP1100UCB4"/>
    <hyperlink ref="B869" r:id="rId_hyperlink_1736" tooltip="DMP1100UCB4 Datasheet" display="DMP1100UCB4 Datasheet"/>
    <hyperlink ref="A870" r:id="rId_hyperlink_1737" tooltip="DMP1200UFR4" display="DMP1200UFR4"/>
    <hyperlink ref="B870" r:id="rId_hyperlink_1738" tooltip="DMP1200UFR4 Datasheet" display="DMP1200UFR4 Datasheet"/>
    <hyperlink ref="A871" r:id="rId_hyperlink_1739" tooltip="DMP1245UFCL" display="DMP1245UFCL"/>
    <hyperlink ref="B871" r:id="rId_hyperlink_1740" tooltip="DMP1245UFCL Datasheet" display="DMP1245UFCL Datasheet"/>
    <hyperlink ref="A872" r:id="rId_hyperlink_1741" tooltip="DMP1555UFA" display="DMP1555UFA"/>
    <hyperlink ref="B872" r:id="rId_hyperlink_1742" tooltip="DMP1555UFA Datasheet" display="DMP1555UFA Datasheet"/>
    <hyperlink ref="A873" r:id="rId_hyperlink_1743" tooltip="DMP2002UPS" display="DMP2002UPS"/>
    <hyperlink ref="B873" r:id="rId_hyperlink_1744" tooltip="DMP2002UPS Datasheet" display="DMP2002UPS Datasheet"/>
    <hyperlink ref="A874" r:id="rId_hyperlink_1745" tooltip="DMP2003UPS" display="DMP2003UPS"/>
    <hyperlink ref="B874" r:id="rId_hyperlink_1746" tooltip="DMP2003UPS Datasheet" display="DMP2003UPS Datasheet"/>
    <hyperlink ref="A875" r:id="rId_hyperlink_1747" tooltip="DMP2004DMK" display="DMP2004DMK"/>
    <hyperlink ref="B875" r:id="rId_hyperlink_1748" tooltip="DMP2004DMK Datasheet" display="DMP2004DMK Datasheet"/>
    <hyperlink ref="A876" r:id="rId_hyperlink_1749" tooltip="DMP2004DWK" display="DMP2004DWK"/>
    <hyperlink ref="B876" r:id="rId_hyperlink_1750" tooltip="DMP2004DWK Datasheet" display="DMP2004DWK Datasheet"/>
    <hyperlink ref="A877" r:id="rId_hyperlink_1751" tooltip="DMP2004K" display="DMP2004K"/>
    <hyperlink ref="B877" r:id="rId_hyperlink_1752" tooltip="DMP2004K Datasheet" display="DMP2004K Datasheet"/>
    <hyperlink ref="A878" r:id="rId_hyperlink_1753" tooltip="DMP2004TK" display="DMP2004TK"/>
    <hyperlink ref="B878" r:id="rId_hyperlink_1754" tooltip="DMP2004TK Datasheet" display="DMP2004TK Datasheet"/>
    <hyperlink ref="A879" r:id="rId_hyperlink_1755" tooltip="DMP2004UFG" display="DMP2004UFG"/>
    <hyperlink ref="B879" r:id="rId_hyperlink_1756" tooltip="DMP2004UFG Datasheet" display="DMP2004UFG Datasheet"/>
    <hyperlink ref="A880" r:id="rId_hyperlink_1757" tooltip="DMP2004VK" display="DMP2004VK"/>
    <hyperlink ref="B880" r:id="rId_hyperlink_1758" tooltip="DMP2004VK Datasheet" display="DMP2004VK Datasheet"/>
    <hyperlink ref="A881" r:id="rId_hyperlink_1759" tooltip="DMP2004WK" display="DMP2004WK"/>
    <hyperlink ref="B881" r:id="rId_hyperlink_1760" tooltip="DMP2004WK Datasheet" display="DMP2004WK Datasheet"/>
    <hyperlink ref="A882" r:id="rId_hyperlink_1761" tooltip="DMP2005UFG" display="DMP2005UFG"/>
    <hyperlink ref="B882" r:id="rId_hyperlink_1762" tooltip="DMP2005UFG Datasheet" display="DMP2005UFG Datasheet"/>
    <hyperlink ref="A883" r:id="rId_hyperlink_1763" tooltip="DMP2006UFGQ" display="DMP2006UFGQ"/>
    <hyperlink ref="B883" r:id="rId_hyperlink_1764" tooltip="DMP2006UFGQ Datasheet" display="DMP2006UFGQ Datasheet"/>
    <hyperlink ref="A884" r:id="rId_hyperlink_1765" tooltip="DMP2007UFG" display="DMP2007UFG"/>
    <hyperlink ref="B884" r:id="rId_hyperlink_1766" tooltip="DMP2007UFG Datasheet" display="DMP2007UFG Datasheet"/>
    <hyperlink ref="A885" r:id="rId_hyperlink_1767" tooltip="DMP2008UFG" display="DMP2008UFG"/>
    <hyperlink ref="B885" r:id="rId_hyperlink_1768" tooltip="DMP2008UFG Datasheet" display="DMP2008UFG Datasheet"/>
    <hyperlink ref="A886" r:id="rId_hyperlink_1769" tooltip="DMP2008USS" display="DMP2008USS"/>
    <hyperlink ref="B886" r:id="rId_hyperlink_1770" tooltip="DMP2008USS Datasheet" display="DMP2008USS Datasheet"/>
    <hyperlink ref="A887" r:id="rId_hyperlink_1771" tooltip="DMP2010UFG" display="DMP2010UFG"/>
    <hyperlink ref="B887" r:id="rId_hyperlink_1772" tooltip="DMP2010UFG Datasheet" display="DMP2010UFG Datasheet"/>
    <hyperlink ref="A888" r:id="rId_hyperlink_1773" tooltip="DMP2010UFV" display="DMP2010UFV"/>
    <hyperlink ref="B888" r:id="rId_hyperlink_1774" tooltip="DMP2010UFV Datasheet" display="DMP2010UFV Datasheet"/>
    <hyperlink ref="A889" r:id="rId_hyperlink_1775" tooltip="DMP2012SN" display="DMP2012SN"/>
    <hyperlink ref="B889" r:id="rId_hyperlink_1776" tooltip="DMP2012SN Datasheet" display="DMP2012SN Datasheet"/>
    <hyperlink ref="A890" r:id="rId_hyperlink_1777" tooltip="DMP2016UFDF" display="DMP2016UFDF"/>
    <hyperlink ref="B890" r:id="rId_hyperlink_1778" tooltip="DMP2016UFDF Datasheet" display="DMP2016UFDF Datasheet"/>
    <hyperlink ref="A891" r:id="rId_hyperlink_1779" tooltip="DMP2018LFK" display="DMP2018LFK"/>
    <hyperlink ref="B891" r:id="rId_hyperlink_1780" tooltip="DMP2018LFK Datasheet" display="DMP2018LFK Datasheet"/>
    <hyperlink ref="A892" r:id="rId_hyperlink_1781" tooltip="DMP2021UFDE" display="DMP2021UFDE"/>
    <hyperlink ref="B892" r:id="rId_hyperlink_1782" tooltip="DMP2021UFDE Datasheet" display="DMP2021UFDE Datasheet"/>
    <hyperlink ref="A893" r:id="rId_hyperlink_1783" tooltip="DMP2021UFDF" display="DMP2021UFDF"/>
    <hyperlink ref="B893" r:id="rId_hyperlink_1784" tooltip="DMP2021UFDF Datasheet" display="DMP2021UFDF Datasheet"/>
    <hyperlink ref="A894" r:id="rId_hyperlink_1785" tooltip="DMP2021UTS" display="DMP2021UTS"/>
    <hyperlink ref="B894" r:id="rId_hyperlink_1786" tooltip="DMP2021UTS Datasheet" display="DMP2021UTS Datasheet"/>
    <hyperlink ref="A895" r:id="rId_hyperlink_1787" tooltip="DMP2021UTSQ" display="DMP2021UTSQ"/>
    <hyperlink ref="B895" r:id="rId_hyperlink_1788" tooltip="DMP2021UTSQ Datasheet" display="DMP2021UTSQ Datasheet"/>
    <hyperlink ref="A896" r:id="rId_hyperlink_1789" tooltip="DMP2022LSS" display="DMP2022LSS"/>
    <hyperlink ref="B896" r:id="rId_hyperlink_1790" tooltip="DMP2022LSS Datasheet" display="DMP2022LSS Datasheet"/>
    <hyperlink ref="A897" r:id="rId_hyperlink_1791" tooltip="DMP2022LSSQ" display="DMP2022LSSQ"/>
    <hyperlink ref="B897" r:id="rId_hyperlink_1792" tooltip="DMP2022LSSQ Datasheet" display="DMP2022LSSQ Datasheet"/>
    <hyperlink ref="A898" r:id="rId_hyperlink_1793" tooltip="DMP2023UFDF" display="DMP2023UFDF"/>
    <hyperlink ref="B898" r:id="rId_hyperlink_1794" tooltip="DMP2023UFDF Datasheet" display="DMP2023UFDF Datasheet"/>
    <hyperlink ref="A899" r:id="rId_hyperlink_1795" tooltip="DMP2033UVT" display="DMP2033UVT"/>
    <hyperlink ref="B899" r:id="rId_hyperlink_1796" tooltip="DMP2033UVT Datasheet" display="DMP2033UVT Datasheet"/>
    <hyperlink ref="A900" r:id="rId_hyperlink_1797" tooltip="DMP2035U" display="DMP2035U"/>
    <hyperlink ref="B900" r:id="rId_hyperlink_1798" tooltip="DMP2035U Datasheet" display="DMP2035U Datasheet"/>
    <hyperlink ref="A901" r:id="rId_hyperlink_1799" tooltip="DMP2035UFCL" display="DMP2035UFCL"/>
    <hyperlink ref="B901" r:id="rId_hyperlink_1800" tooltip="DMP2035UFCL Datasheet" display="DMP2035UFCL Datasheet"/>
    <hyperlink ref="A902" r:id="rId_hyperlink_1801" tooltip="DMP2035UFDF" display="DMP2035UFDF"/>
    <hyperlink ref="B902" r:id="rId_hyperlink_1802" tooltip="DMP2035UFDF Datasheet" display="DMP2035UFDF Datasheet"/>
    <hyperlink ref="A903" r:id="rId_hyperlink_1803" tooltip="DMP2035UTS" display="DMP2035UTS"/>
    <hyperlink ref="B903" r:id="rId_hyperlink_1804" tooltip="DMP2035UTS Datasheet" display="DMP2035UTS Datasheet"/>
    <hyperlink ref="A904" r:id="rId_hyperlink_1805" tooltip="DMP2035UVT" display="DMP2035UVT"/>
    <hyperlink ref="B904" r:id="rId_hyperlink_1806" tooltip="DMP2035UVT Datasheet" display="DMP2035UVT Datasheet"/>
    <hyperlink ref="A905" r:id="rId_hyperlink_1807" tooltip="DMP2035UVTQ" display="DMP2035UVTQ"/>
    <hyperlink ref="B905" r:id="rId_hyperlink_1808" tooltip="DMP2035UVTQ Datasheet" display="DMP2035UVTQ Datasheet"/>
    <hyperlink ref="A906" r:id="rId_hyperlink_1809" tooltip="DMP2036UVT" display="DMP2036UVT"/>
    <hyperlink ref="B906" r:id="rId_hyperlink_1810" tooltip="DMP2036UVT Datasheet" display="DMP2036UVT Datasheet"/>
    <hyperlink ref="A907" r:id="rId_hyperlink_1811" tooltip="DMP2036UVTQ" display="DMP2036UVTQ"/>
    <hyperlink ref="B907" r:id="rId_hyperlink_1812" tooltip="DMP2036UVTQ Datasheet" display="DMP2036UVTQ Datasheet"/>
    <hyperlink ref="A908" r:id="rId_hyperlink_1813" tooltip="DMP2037U" display="DMP2037U"/>
    <hyperlink ref="B908" r:id="rId_hyperlink_1814" tooltip="DMP2037U Datasheet" display="DMP2037U Datasheet"/>
    <hyperlink ref="A909" r:id="rId_hyperlink_1815" tooltip="DMP2037UFCL" display="DMP2037UFCL"/>
    <hyperlink ref="B909" r:id="rId_hyperlink_1816" tooltip="DMP2037UFCL Datasheet" display="DMP2037UFCL Datasheet"/>
    <hyperlink ref="A910" r:id="rId_hyperlink_1817" tooltip="DMP2039UFDE" display="DMP2039UFDE"/>
    <hyperlink ref="B910" r:id="rId_hyperlink_1818" tooltip="DMP2039UFDE Datasheet" display="DMP2039UFDE Datasheet"/>
    <hyperlink ref="A911" r:id="rId_hyperlink_1819" tooltip="DMP2039UFDE4" display="DMP2039UFDE4"/>
    <hyperlink ref="B911" r:id="rId_hyperlink_1820" tooltip="DMP2039UFDE4 Datasheet" display="DMP2039UFDE4 Datasheet"/>
    <hyperlink ref="A912" r:id="rId_hyperlink_1821" tooltip="DMP2040UFDF" display="DMP2040UFDF"/>
    <hyperlink ref="B912" r:id="rId_hyperlink_1822" tooltip="DMP2040UFDF Datasheet" display="DMP2040UFDF Datasheet"/>
    <hyperlink ref="A913" r:id="rId_hyperlink_1823" tooltip="DMP2040UND" display="DMP2040UND"/>
    <hyperlink ref="B913" r:id="rId_hyperlink_1824" tooltip="DMP2040UND Datasheet" display="DMP2040UND Datasheet"/>
    <hyperlink ref="A914" r:id="rId_hyperlink_1825" tooltip="DMP2040USD" display="DMP2040USD"/>
    <hyperlink ref="B914" r:id="rId_hyperlink_1826" tooltip="DMP2040USD Datasheet" display="DMP2040USD Datasheet"/>
    <hyperlink ref="A915" r:id="rId_hyperlink_1827" tooltip="DMP2040USS" display="DMP2040USS"/>
    <hyperlink ref="B915" r:id="rId_hyperlink_1828" tooltip="DMP2040USS Datasheet" display="DMP2040USS Datasheet"/>
    <hyperlink ref="A916" r:id="rId_hyperlink_1829" tooltip="DMP2040UVT" display="DMP2040UVT"/>
    <hyperlink ref="B916" r:id="rId_hyperlink_1830" tooltip="DMP2040UVT Datasheet" display="DMP2040UVT Datasheet"/>
    <hyperlink ref="A917" r:id="rId_hyperlink_1831" tooltip="DMP2040UVTQ" display="DMP2040UVTQ"/>
    <hyperlink ref="B917" r:id="rId_hyperlink_1832" tooltip="DMP2040UVTQ Datasheet" display="DMP2040UVTQ Datasheet"/>
    <hyperlink ref="A918" r:id="rId_hyperlink_1833" tooltip="DMP2042UCP4" display="DMP2042UCP4"/>
    <hyperlink ref="B918" r:id="rId_hyperlink_1834" tooltip="DMP2042UCP4 Datasheet" display="DMP2042UCP4 Datasheet"/>
    <hyperlink ref="A919" r:id="rId_hyperlink_1835" tooltip="DMP2043UCA3" display="DMP2043UCA3"/>
    <hyperlink ref="B919" r:id="rId_hyperlink_1836" tooltip="DMP2043UCA3 Datasheet" display="DMP2043UCA3 Datasheet"/>
    <hyperlink ref="A920" r:id="rId_hyperlink_1837" tooltip="DMP2045U" display="DMP2045U"/>
    <hyperlink ref="B920" r:id="rId_hyperlink_1838" tooltip="DMP2045U Datasheet" display="DMP2045U Datasheet"/>
    <hyperlink ref="A921" r:id="rId_hyperlink_1839" tooltip="DMP2045UFDB" display="DMP2045UFDB"/>
    <hyperlink ref="B921" r:id="rId_hyperlink_1840" tooltip="DMP2045UFDB Datasheet" display="DMP2045UFDB Datasheet"/>
    <hyperlink ref="A922" r:id="rId_hyperlink_1841" tooltip="DMP2045UFY4" display="DMP2045UFY4"/>
    <hyperlink ref="B922" r:id="rId_hyperlink_1842" tooltip="DMP2045UFY4 Datasheet" display="DMP2045UFY4 Datasheet"/>
    <hyperlink ref="A923" r:id="rId_hyperlink_1843" tooltip="DMP2045UQ" display="DMP2045UQ"/>
    <hyperlink ref="B923" r:id="rId_hyperlink_1844" tooltip="DMP2045UQ Datasheet" display="DMP2045UQ Datasheet"/>
    <hyperlink ref="A924" r:id="rId_hyperlink_1845" tooltip="DMP2047UCB4" display="DMP2047UCB4"/>
    <hyperlink ref="B924" r:id="rId_hyperlink_1846" tooltip="DMP2047UCB4 Datasheet" display="DMP2047UCB4 Datasheet"/>
    <hyperlink ref="A925" r:id="rId_hyperlink_1847" tooltip="DMP2056UCA4" display="DMP2056UCA4"/>
    <hyperlink ref="B925" r:id="rId_hyperlink_1848" tooltip="DMP2056UCA4 Datasheet" display="DMP2056UCA4 Datasheet"/>
    <hyperlink ref="A926" r:id="rId_hyperlink_1849" tooltip="DMP2065U" display="DMP2065U"/>
    <hyperlink ref="B926" r:id="rId_hyperlink_1850" tooltip="DMP2065U Datasheet" display="DMP2065U Datasheet"/>
    <hyperlink ref="A927" r:id="rId_hyperlink_1851" tooltip="DMP2065UFDB" display="DMP2065UFDB"/>
    <hyperlink ref="B927" r:id="rId_hyperlink_1852" tooltip="DMP2065UFDB Datasheet" display="DMP2065UFDB Datasheet"/>
    <hyperlink ref="A928" r:id="rId_hyperlink_1853" tooltip="DMP2065UQ" display="DMP2065UQ"/>
    <hyperlink ref="B928" r:id="rId_hyperlink_1854" tooltip="DMP2065UQ Datasheet" display="DMP2065UQ Datasheet"/>
    <hyperlink ref="A929" r:id="rId_hyperlink_1855" tooltip="DMP2066LSN" display="DMP2066LSN"/>
    <hyperlink ref="B929" r:id="rId_hyperlink_1856" tooltip="DMP2066LSN Datasheet" display="DMP2066LSN Datasheet"/>
    <hyperlink ref="A930" r:id="rId_hyperlink_1857" tooltip="DMP2066LVT" display="DMP2066LVT"/>
    <hyperlink ref="B930" r:id="rId_hyperlink_1858" tooltip="DMP2066LVT Datasheet" display="DMP2066LVT Datasheet"/>
    <hyperlink ref="A931" r:id="rId_hyperlink_1859" tooltip="DMP2066UFDE" display="DMP2066UFDE"/>
    <hyperlink ref="B931" r:id="rId_hyperlink_1860" tooltip="DMP2066UFDE Datasheet" display="DMP2066UFDE Datasheet"/>
    <hyperlink ref="A932" r:id="rId_hyperlink_1861" tooltip="DMP2067LSS" display="DMP2067LSS"/>
    <hyperlink ref="B932" r:id="rId_hyperlink_1862" tooltip="DMP2067LSS Datasheet" display="DMP2067LSS Datasheet"/>
    <hyperlink ref="A933" r:id="rId_hyperlink_1863" tooltip="DMP2067LVT" display="DMP2067LVT"/>
    <hyperlink ref="B933" r:id="rId_hyperlink_1864" tooltip="DMP2067LVT Datasheet" display="DMP2067LVT Datasheet"/>
    <hyperlink ref="A934" r:id="rId_hyperlink_1865" tooltip="DMP2067LVTQ" display="DMP2067LVTQ"/>
    <hyperlink ref="B934" r:id="rId_hyperlink_1866" tooltip="DMP2067LVTQ Datasheet" display="DMP2067LVTQ Datasheet"/>
    <hyperlink ref="A935" r:id="rId_hyperlink_1867" tooltip="DMP2069UFY4" display="DMP2069UFY4"/>
    <hyperlink ref="B935" r:id="rId_hyperlink_1868" tooltip="DMP2069UFY4 Datasheet" display="DMP2069UFY4 Datasheet"/>
    <hyperlink ref="A936" r:id="rId_hyperlink_1869" tooltip="DMP2069UFY4Q" display="DMP2069UFY4Q"/>
    <hyperlink ref="B936" r:id="rId_hyperlink_1870" tooltip="DMP2069UFY4Q Datasheet" display="DMP2069UFY4Q Datasheet"/>
    <hyperlink ref="A937" r:id="rId_hyperlink_1871" tooltip="DMP2070U" display="DMP2070U"/>
    <hyperlink ref="B937" r:id="rId_hyperlink_1872" tooltip="DMP2070U Datasheet" display="DMP2070U Datasheet"/>
    <hyperlink ref="A938" r:id="rId_hyperlink_1873" tooltip="DMP2070UQ" display="DMP2070UQ"/>
    <hyperlink ref="B938" r:id="rId_hyperlink_1874" tooltip="DMP2070UQ Datasheet" display="DMP2070UQ Datasheet"/>
    <hyperlink ref="A939" r:id="rId_hyperlink_1875" tooltip="DMP2075UFDB" display="DMP2075UFDB"/>
    <hyperlink ref="B939" r:id="rId_hyperlink_1876" tooltip="DMP2075UFDB Datasheet" display="DMP2075UFDB Datasheet"/>
    <hyperlink ref="A940" r:id="rId_hyperlink_1877" tooltip="DMP2075UVT" display="DMP2075UVT"/>
    <hyperlink ref="B940" r:id="rId_hyperlink_1878" tooltip="DMP2075UVT Datasheet" display="DMP2075UVT Datasheet"/>
    <hyperlink ref="A941" r:id="rId_hyperlink_1879" tooltip="DMP2077UCA3" display="DMP2077UCA3"/>
    <hyperlink ref="B941" r:id="rId_hyperlink_1880" tooltip="DMP2077UCA3 Datasheet" display="DMP2077UCA3 Datasheet"/>
    <hyperlink ref="A942" r:id="rId_hyperlink_1881" tooltip="DMP2078LCA3" display="DMP2078LCA3"/>
    <hyperlink ref="B942" r:id="rId_hyperlink_1882" tooltip="DMP2078LCA3 Datasheet" display="DMP2078LCA3 Datasheet"/>
    <hyperlink ref="A943" r:id="rId_hyperlink_1883" tooltip="DMP2079LCA3" display="DMP2079LCA3"/>
    <hyperlink ref="B943" r:id="rId_hyperlink_1884" tooltip="DMP2079LCA3 Datasheet" display="DMP2079LCA3 Datasheet"/>
    <hyperlink ref="A944" r:id="rId_hyperlink_1885" tooltip="DMP2090UFDB" display="DMP2090UFDB"/>
    <hyperlink ref="B944" r:id="rId_hyperlink_1886" tooltip="DMP2090UFDB Datasheet" display="DMP2090UFDB Datasheet"/>
    <hyperlink ref="A945" r:id="rId_hyperlink_1887" tooltip="DMP2100UFU" display="DMP2100UFU"/>
    <hyperlink ref="B945" r:id="rId_hyperlink_1888" tooltip="DMP2100UFU Datasheet" display="DMP2100UFU Datasheet"/>
    <hyperlink ref="A946" r:id="rId_hyperlink_1889" tooltip="DMP2101UCP9" display="DMP2101UCP9"/>
    <hyperlink ref="B946" r:id="rId_hyperlink_1890" tooltip="DMP2101UCP9 Datasheet" display="DMP2101UCP9 Datasheet"/>
    <hyperlink ref="A947" r:id="rId_hyperlink_1891" tooltip="DMP2104LP" display="DMP2104LP"/>
    <hyperlink ref="B947" r:id="rId_hyperlink_1892" tooltip="DMP2104LP Datasheet" display="DMP2104LP Datasheet"/>
    <hyperlink ref="A948" r:id="rId_hyperlink_1893" tooltip="DMP2104V" display="DMP2104V"/>
    <hyperlink ref="B948" r:id="rId_hyperlink_1894" tooltip="DMP2104V Datasheet" display="DMP2104V Datasheet"/>
    <hyperlink ref="A949" r:id="rId_hyperlink_1895" tooltip="DMP2109UVT" display="DMP2109UVT"/>
    <hyperlink ref="B949" r:id="rId_hyperlink_1896" tooltip="DMP2109UVT Datasheet" display="DMP2109UVT Datasheet"/>
    <hyperlink ref="A950" r:id="rId_hyperlink_1897" tooltip="DMP2109UVTQ" display="DMP2109UVTQ"/>
    <hyperlink ref="B950" r:id="rId_hyperlink_1898" tooltip="DMP2109UVTQ Datasheet" display="DMP2109UVTQ Datasheet"/>
    <hyperlink ref="A951" r:id="rId_hyperlink_1899" tooltip="DMP2110U" display="DMP2110U"/>
    <hyperlink ref="B951" r:id="rId_hyperlink_1900" tooltip="DMP2110U Datasheet" display="DMP2110U Datasheet"/>
    <hyperlink ref="A952" r:id="rId_hyperlink_1901" tooltip="DMP2110UFDB" display="DMP2110UFDB"/>
    <hyperlink ref="B952" r:id="rId_hyperlink_1902" tooltip="DMP2110UFDB Datasheet" display="DMP2110UFDB Datasheet"/>
    <hyperlink ref="A953" r:id="rId_hyperlink_1903" tooltip="DMP2110UFDBQ" display="DMP2110UFDBQ"/>
    <hyperlink ref="B953" r:id="rId_hyperlink_1904" tooltip="DMP2110UFDBQ Datasheet" display="DMP2110UFDBQ Datasheet"/>
    <hyperlink ref="A954" r:id="rId_hyperlink_1905" tooltip="DMP2110UQ" display="DMP2110UQ"/>
    <hyperlink ref="B954" r:id="rId_hyperlink_1906" tooltip="DMP2110UQ Datasheet" display="DMP2110UQ Datasheet"/>
    <hyperlink ref="A955" r:id="rId_hyperlink_1907" tooltip="DMP2110UVT" display="DMP2110UVT"/>
    <hyperlink ref="B955" r:id="rId_hyperlink_1908" tooltip="DMP2110UVT Datasheet" display="DMP2110UVT Datasheet"/>
    <hyperlink ref="A956" r:id="rId_hyperlink_1909" tooltip="DMP2110UVTQ" display="DMP2110UVTQ"/>
    <hyperlink ref="B956" r:id="rId_hyperlink_1910" tooltip="DMP2110UVTQ Datasheet" display="DMP2110UVTQ Datasheet"/>
    <hyperlink ref="A957" r:id="rId_hyperlink_1911" tooltip="DMP2110UW" display="DMP2110UW"/>
    <hyperlink ref="B957" r:id="rId_hyperlink_1912" tooltip="DMP2110UW Datasheet" display="DMP2110UW Datasheet"/>
    <hyperlink ref="A958" r:id="rId_hyperlink_1913" tooltip="DMP2120U" display="DMP2120U"/>
    <hyperlink ref="B958" r:id="rId_hyperlink_1914" tooltip="DMP2120U Datasheet" display="DMP2120U Datasheet"/>
    <hyperlink ref="A959" r:id="rId_hyperlink_1915" tooltip="DMP2123L" display="DMP2123L"/>
    <hyperlink ref="B959" r:id="rId_hyperlink_1916" tooltip="DMP2123L Datasheet" display="DMP2123L Datasheet"/>
    <hyperlink ref="A960" r:id="rId_hyperlink_1917" tooltip="DMP2123LQ" display="DMP2123LQ"/>
    <hyperlink ref="B960" r:id="rId_hyperlink_1918" tooltip="DMP2123LQ Datasheet" display="DMP2123LQ Datasheet"/>
    <hyperlink ref="A961" r:id="rId_hyperlink_1919" tooltip="DMP2130L" display="DMP2130L"/>
    <hyperlink ref="B961" r:id="rId_hyperlink_1920" tooltip="DMP2130L Datasheet" display="DMP2130L Datasheet"/>
    <hyperlink ref="A962" r:id="rId_hyperlink_1921" tooltip="DMP2130LDM" display="DMP2130LDM"/>
    <hyperlink ref="B962" r:id="rId_hyperlink_1922" tooltip="DMP2130LDM Datasheet" display="DMP2130LDM Datasheet"/>
    <hyperlink ref="A963" r:id="rId_hyperlink_1923" tooltip="DMP213DUFA" display="DMP213DUFA"/>
    <hyperlink ref="B963" r:id="rId_hyperlink_1924" tooltip="DMP213DUFA Datasheet" display="DMP213DUFA Datasheet"/>
    <hyperlink ref="A964" r:id="rId_hyperlink_1925" tooltip="DMP2160UWQ" display="DMP2160UWQ"/>
    <hyperlink ref="B964" r:id="rId_hyperlink_1926" tooltip="DMP2160UWQ Datasheet" display="DMP2160UWQ Datasheet"/>
    <hyperlink ref="A965" r:id="rId_hyperlink_1927" tooltip="DMP2165UW" display="DMP2165UW"/>
    <hyperlink ref="B965" r:id="rId_hyperlink_1928" tooltip="DMP2165UW Datasheet" display="DMP2165UW Datasheet"/>
    <hyperlink ref="A966" r:id="rId_hyperlink_1929" tooltip="DMP2170U" display="DMP2170U"/>
    <hyperlink ref="B966" r:id="rId_hyperlink_1930" tooltip="DMP2170U Datasheet" display="DMP2170U Datasheet"/>
    <hyperlink ref="A967" r:id="rId_hyperlink_1931" tooltip="DMP21D0UFB" display="DMP21D0UFB"/>
    <hyperlink ref="B967" r:id="rId_hyperlink_1932" tooltip="DMP21D0UFB Datasheet" display="DMP21D0UFB Datasheet"/>
    <hyperlink ref="A968" r:id="rId_hyperlink_1933" tooltip="DMP21D0UFB4" display="DMP21D0UFB4"/>
    <hyperlink ref="B968" r:id="rId_hyperlink_1934" tooltip="DMP21D0UFB4 Datasheet" display="DMP21D0UFB4 Datasheet"/>
    <hyperlink ref="A969" r:id="rId_hyperlink_1935" tooltip="DMP21D0UFD" display="DMP21D0UFD"/>
    <hyperlink ref="B969" r:id="rId_hyperlink_1936" tooltip="DMP21D0UFD Datasheet" display="DMP21D0UFD Datasheet"/>
    <hyperlink ref="A970" r:id="rId_hyperlink_1937" tooltip="DMP21D0UT" display="DMP21D0UT"/>
    <hyperlink ref="B970" r:id="rId_hyperlink_1938" tooltip="DMP21D0UT Datasheet" display="DMP21D0UT Datasheet"/>
    <hyperlink ref="A971" r:id="rId_hyperlink_1939" tooltip="DMP21D1UT" display="DMP21D1UT"/>
    <hyperlink ref="B971" r:id="rId_hyperlink_1940" tooltip="DMP21D1UT Datasheet" display="DMP21D1UT Datasheet"/>
    <hyperlink ref="A972" r:id="rId_hyperlink_1941" tooltip="DMP21D1UTQ" display="DMP21D1UTQ"/>
    <hyperlink ref="B972" r:id="rId_hyperlink_1942" tooltip="DMP21D1UTQ Datasheet" display="DMP21D1UTQ Datasheet"/>
    <hyperlink ref="A973" r:id="rId_hyperlink_1943" tooltip="DMP21D2UFA" display="DMP21D2UFA"/>
    <hyperlink ref="B973" r:id="rId_hyperlink_1944" tooltip="DMP21D2UFA Datasheet" display="DMP21D2UFA Datasheet"/>
    <hyperlink ref="A974" r:id="rId_hyperlink_1945" tooltip="DMP21D5UFB4" display="DMP21D5UFB4"/>
    <hyperlink ref="B974" r:id="rId_hyperlink_1946" tooltip="DMP21D5UFB4 Datasheet" display="DMP21D5UFB4 Datasheet"/>
    <hyperlink ref="A975" r:id="rId_hyperlink_1947" tooltip="DMP21D6UFB4" display="DMP21D6UFB4"/>
    <hyperlink ref="B975" r:id="rId_hyperlink_1948" tooltip="DMP21D6UFB4 Datasheet" display="DMP21D6UFB4 Datasheet"/>
    <hyperlink ref="A976" r:id="rId_hyperlink_1949" tooltip="DMP21D6UFD" display="DMP21D6UFD"/>
    <hyperlink ref="B976" r:id="rId_hyperlink_1950" tooltip="DMP21D6UFD Datasheet" display="DMP21D6UFD Datasheet"/>
    <hyperlink ref="A977" r:id="rId_hyperlink_1951" tooltip="DMP2200UDW" display="DMP2200UDW"/>
    <hyperlink ref="B977" r:id="rId_hyperlink_1952" tooltip="DMP2200UDW Datasheet" display="DMP2200UDW Datasheet"/>
    <hyperlink ref="A978" r:id="rId_hyperlink_1953" tooltip="DMP2200UFCL" display="DMP2200UFCL"/>
    <hyperlink ref="B978" r:id="rId_hyperlink_1954" tooltip="DMP2200UFCL Datasheet" display="DMP2200UFCL Datasheet"/>
    <hyperlink ref="A979" r:id="rId_hyperlink_1955" tooltip="DMP2240UDM" display="DMP2240UDM"/>
    <hyperlink ref="B979" r:id="rId_hyperlink_1956" tooltip="DMP2240UDM Datasheet" display="DMP2240UDM Datasheet"/>
    <hyperlink ref="A980" r:id="rId_hyperlink_1957" tooltip="DMP2240UW" display="DMP2240UW"/>
    <hyperlink ref="B980" r:id="rId_hyperlink_1958" tooltip="DMP2240UW Datasheet" display="DMP2240UW Datasheet"/>
    <hyperlink ref="A981" r:id="rId_hyperlink_1959" tooltip="DMP2240UWQ" display="DMP2240UWQ"/>
    <hyperlink ref="B981" r:id="rId_hyperlink_1960" tooltip="DMP2240UWQ Datasheet" display="DMP2240UWQ Datasheet"/>
    <hyperlink ref="A982" r:id="rId_hyperlink_1961" tooltip="DMP22D4UDA" display="DMP22D4UDA"/>
    <hyperlink ref="B982" r:id="rId_hyperlink_1962" tooltip="DMP22D4UDA Datasheet" display="DMP22D4UDA Datasheet"/>
    <hyperlink ref="A983" r:id="rId_hyperlink_1963" tooltip="DMP22D4UFA" display="DMP22D4UFA"/>
    <hyperlink ref="B983" r:id="rId_hyperlink_1964" tooltip="DMP22D4UFA Datasheet" display="DMP22D4UFA Datasheet"/>
    <hyperlink ref="A984" r:id="rId_hyperlink_1965" tooltip="DMP22D4UFO" display="DMP22D4UFO"/>
    <hyperlink ref="B984" r:id="rId_hyperlink_1966" tooltip="DMP22D4UFO Datasheet" display="DMP22D4UFO Datasheet"/>
    <hyperlink ref="A985" r:id="rId_hyperlink_1967" tooltip="DMP22D5UDA" display="DMP22D5UDA"/>
    <hyperlink ref="B985" r:id="rId_hyperlink_1968" tooltip="DMP22D5UDA Datasheet" display="DMP22D5UDA Datasheet"/>
    <hyperlink ref="A986" r:id="rId_hyperlink_1969" tooltip="DMP22D5UDJ" display="DMP22D5UDJ"/>
    <hyperlink ref="B986" r:id="rId_hyperlink_1970" tooltip="DMP22D5UDJ Datasheet" display="DMP22D5UDJ Datasheet"/>
    <hyperlink ref="A987" r:id="rId_hyperlink_1971" tooltip="DMP22D5UDR4" display="DMP22D5UDR4"/>
    <hyperlink ref="B987" r:id="rId_hyperlink_1972" tooltip="DMP22D5UDR4 Datasheet" display="DMP22D5UDR4 Datasheet"/>
    <hyperlink ref="A988" r:id="rId_hyperlink_1973" tooltip="DMP22D5UFA" display="DMP22D5UFA"/>
    <hyperlink ref="B988" r:id="rId_hyperlink_1974" tooltip="DMP22D5UFA Datasheet" display="DMP22D5UFA Datasheet"/>
    <hyperlink ref="A989" r:id="rId_hyperlink_1975" tooltip="DMP22D5UFB4" display="DMP22D5UFB4"/>
    <hyperlink ref="B989" r:id="rId_hyperlink_1976" tooltip="DMP22D5UFB4 Datasheet" display="DMP22D5UFB4 Datasheet"/>
    <hyperlink ref="A990" r:id="rId_hyperlink_1977" tooltip="DMP22D5UFB4Q" display="DMP22D5UFB4Q"/>
    <hyperlink ref="B990" r:id="rId_hyperlink_1978" tooltip="DMP22D5UFB4Q Datasheet" display="DMP22D5UFB4Q Datasheet"/>
    <hyperlink ref="A991" r:id="rId_hyperlink_1979" tooltip="DMP22D5UFO" display="DMP22D5UFO"/>
    <hyperlink ref="B991" r:id="rId_hyperlink_1980" tooltip="DMP22D5UFO Datasheet" display="DMP22D5UFO Datasheet"/>
    <hyperlink ref="A992" r:id="rId_hyperlink_1981" tooltip="DMP22D5UFZ" display="DMP22D5UFZ"/>
    <hyperlink ref="B992" r:id="rId_hyperlink_1982" tooltip="DMP22D5UFZ Datasheet" display="DMP22D5UFZ Datasheet"/>
    <hyperlink ref="A993" r:id="rId_hyperlink_1983" tooltip="DMP22D6UFB4" display="DMP22D6UFB4"/>
    <hyperlink ref="B993" r:id="rId_hyperlink_1984" tooltip="DMP22D6UFB4 Datasheet" display="DMP22D6UFB4 Datasheet"/>
    <hyperlink ref="A994" r:id="rId_hyperlink_1985" tooltip="DMP22D6UFB4Q" display="DMP22D6UFB4Q"/>
    <hyperlink ref="B994" r:id="rId_hyperlink_1986" tooltip="DMP22D6UFB4Q Datasheet" display="DMP22D6UFB4Q Datasheet"/>
    <hyperlink ref="A995" r:id="rId_hyperlink_1987" tooltip="DMP22D6UT" display="DMP22D6UT"/>
    <hyperlink ref="B995" r:id="rId_hyperlink_1988" tooltip="DMP22D6UT Datasheet" display="DMP22D6UT Datasheet"/>
    <hyperlink ref="A996" r:id="rId_hyperlink_1989" tooltip="DMP22M1UPSW" display="DMP22M1UPSW"/>
    <hyperlink ref="B996" r:id="rId_hyperlink_1990" tooltip="DMP22M1UPSW Datasheet" display="DMP22M1UPSW Datasheet"/>
    <hyperlink ref="A997" r:id="rId_hyperlink_1991" tooltip="DMP22M2UPS" display="DMP22M2UPS"/>
    <hyperlink ref="B997" r:id="rId_hyperlink_1992" tooltip="DMP22M2UPS Datasheet" display="DMP22M2UPS Datasheet"/>
    <hyperlink ref="A998" r:id="rId_hyperlink_1993" tooltip="DMP2305U" display="DMP2305U"/>
    <hyperlink ref="B998" r:id="rId_hyperlink_1994" tooltip="DMP2305U Datasheet" display="DMP2305U Datasheet"/>
    <hyperlink ref="A999" r:id="rId_hyperlink_1995" tooltip="DMP2305UVT" display="DMP2305UVT"/>
    <hyperlink ref="B999" r:id="rId_hyperlink_1996" tooltip="DMP2305UVT Datasheet" display="DMP2305UVT Datasheet"/>
    <hyperlink ref="A1000" r:id="rId_hyperlink_1997" tooltip="DMP2541UCP9" display="DMP2541UCP9"/>
    <hyperlink ref="B1000" r:id="rId_hyperlink_1998" tooltip="DMP2541UCP9 Datasheet" display="DMP2541UCP9 Datasheet"/>
    <hyperlink ref="A1001" r:id="rId_hyperlink_1999" tooltip="DMP25H18DLFDE" display="DMP25H18DLFDE"/>
    <hyperlink ref="B1001" r:id="rId_hyperlink_2000" tooltip="DMP25H18DLFDE Datasheet" display="DMP25H18DLFDE Datasheet"/>
    <hyperlink ref="A1002" r:id="rId_hyperlink_2001" tooltip="DMP26M1UFG" display="DMP26M1UFG"/>
    <hyperlink ref="B1002" r:id="rId_hyperlink_2002" tooltip="DMP26M1UFG Datasheet" display="DMP26M1UFG Datasheet"/>
    <hyperlink ref="A1003" r:id="rId_hyperlink_2003" tooltip="DMP26M1UPS" display="DMP26M1UPS"/>
    <hyperlink ref="B1003" r:id="rId_hyperlink_2004" tooltip="DMP26M1UPS Datasheet" display="DMP26M1UPS Datasheet"/>
    <hyperlink ref="A1004" r:id="rId_hyperlink_2005" tooltip="DMP26M1UPSW" display="DMP26M1UPSW"/>
    <hyperlink ref="B1004" r:id="rId_hyperlink_2006" tooltip="DMP26M1UPSW Datasheet" display="DMP26M1UPSW Datasheet"/>
    <hyperlink ref="A1005" r:id="rId_hyperlink_2007" tooltip="DMP26M1UPSWQ" display="DMP26M1UPSWQ"/>
    <hyperlink ref="B1005" r:id="rId_hyperlink_2008" tooltip="DMP26M1UPSWQ Datasheet" display="DMP26M1UPSWQ Datasheet"/>
    <hyperlink ref="A1006" r:id="rId_hyperlink_2009" tooltip="DMP26M7UFG" display="DMP26M7UFG"/>
    <hyperlink ref="B1006" r:id="rId_hyperlink_2010" tooltip="DMP26M7UFG Datasheet" display="DMP26M7UFG Datasheet"/>
    <hyperlink ref="A1007" r:id="rId_hyperlink_2011" tooltip="DMP27M1UPSW" display="DMP27M1UPSW"/>
    <hyperlink ref="B1007" r:id="rId_hyperlink_2012" tooltip="DMP27M1UPSW Datasheet" display="DMP27M1UPSW Datasheet"/>
    <hyperlink ref="A1008" r:id="rId_hyperlink_2013" tooltip="DMP27M1UPSWQ" display="DMP27M1UPSWQ"/>
    <hyperlink ref="B1008" r:id="rId_hyperlink_2014" tooltip="DMP27M1UPSWQ Datasheet" display="DMP27M1UPSWQ Datasheet"/>
    <hyperlink ref="A1009" r:id="rId_hyperlink_2015" tooltip="DMP2900UDW" display="DMP2900UDW"/>
    <hyperlink ref="B1009" r:id="rId_hyperlink_2016" tooltip="DMP2900UDW Datasheet" display="DMP2900UDW Datasheet"/>
    <hyperlink ref="A1010" r:id="rId_hyperlink_2017" tooltip="DMP2900UDWQ" display="DMP2900UDWQ"/>
    <hyperlink ref="B1010" r:id="rId_hyperlink_2018" tooltip="DMP2900UDWQ Datasheet" display="DMP2900UDWQ Datasheet"/>
    <hyperlink ref="A1011" r:id="rId_hyperlink_2019" tooltip="DMP2900UFB" display="DMP2900UFB"/>
    <hyperlink ref="B1011" r:id="rId_hyperlink_2020" tooltip="DMP2900UFB Datasheet" display="DMP2900UFB Datasheet"/>
    <hyperlink ref="A1012" r:id="rId_hyperlink_2021" tooltip="DMP2900UFBQ" display="DMP2900UFBQ"/>
    <hyperlink ref="B1012" r:id="rId_hyperlink_2022" tooltip="DMP2900UFBQ Datasheet" display="DMP2900UFBQ Datasheet"/>
    <hyperlink ref="A1013" r:id="rId_hyperlink_2023" tooltip="DMP2900UT" display="DMP2900UT"/>
    <hyperlink ref="B1013" r:id="rId_hyperlink_2024" tooltip="DMP2900UT Datasheet" display="DMP2900UT Datasheet"/>
    <hyperlink ref="A1014" r:id="rId_hyperlink_2025" tooltip="DMP2900UTQ" display="DMP2900UTQ"/>
    <hyperlink ref="B1014" r:id="rId_hyperlink_2026" tooltip="DMP2900UTQ Datasheet" display="DMP2900UTQ Datasheet"/>
    <hyperlink ref="A1015" r:id="rId_hyperlink_2027" tooltip="DMP2900UV" display="DMP2900UV"/>
    <hyperlink ref="B1015" r:id="rId_hyperlink_2028" tooltip="DMP2900UV Datasheet" display="DMP2900UV Datasheet"/>
    <hyperlink ref="A1016" r:id="rId_hyperlink_2029" tooltip="DMP2900UVQ" display="DMP2900UVQ"/>
    <hyperlink ref="B1016" r:id="rId_hyperlink_2030" tooltip="DMP2900UVQ Datasheet" display="DMP2900UVQ Datasheet"/>
    <hyperlink ref="A1017" r:id="rId_hyperlink_2031" tooltip="DMP2900UW" display="DMP2900UW"/>
    <hyperlink ref="B1017" r:id="rId_hyperlink_2032" tooltip="DMP2900UW Datasheet" display="DMP2900UW Datasheet"/>
    <hyperlink ref="A1018" r:id="rId_hyperlink_2033" tooltip="DMP2900UWQ" display="DMP2900UWQ"/>
    <hyperlink ref="B1018" r:id="rId_hyperlink_2034" tooltip="DMP2900UWQ Datasheet" display="DMP2900UWQ Datasheet"/>
    <hyperlink ref="A1019" r:id="rId_hyperlink_2035" tooltip="DMP3004SSS" display="DMP3004SSS"/>
    <hyperlink ref="B1019" r:id="rId_hyperlink_2036" tooltip="DMP3004SSS Datasheet" display="DMP3004SSS Datasheet"/>
    <hyperlink ref="A1020" r:id="rId_hyperlink_2037" tooltip="DMP3006LPSW" display="DMP3006LPSW"/>
    <hyperlink ref="B1020" r:id="rId_hyperlink_2038" tooltip="DMP3006LPSW Datasheet" display="DMP3006LPSW Datasheet"/>
    <hyperlink ref="A1021" r:id="rId_hyperlink_2039" tooltip="DMP3006LPSWQ" display="DMP3006LPSWQ"/>
    <hyperlink ref="B1021" r:id="rId_hyperlink_2040" tooltip="DMP3006LPSWQ Datasheet" display="DMP3006LPSWQ Datasheet"/>
    <hyperlink ref="A1022" r:id="rId_hyperlink_2041" tooltip="DMP3007LK3" display="DMP3007LK3"/>
    <hyperlink ref="B1022" r:id="rId_hyperlink_2042" tooltip="DMP3007LK3 Datasheet" display="DMP3007LK3 Datasheet"/>
    <hyperlink ref="A1023" r:id="rId_hyperlink_2043" tooltip="DMP3007LK3Q" display="DMP3007LK3Q"/>
    <hyperlink ref="B1023" r:id="rId_hyperlink_2044" tooltip="DMP3007LK3Q Datasheet" display="DMP3007LK3Q Datasheet"/>
    <hyperlink ref="A1024" r:id="rId_hyperlink_2045" tooltip="DMP3007LSS" display="DMP3007LSS"/>
    <hyperlink ref="B1024" r:id="rId_hyperlink_2046" tooltip="DMP3007LSS Datasheet" display="DMP3007LSS Datasheet"/>
    <hyperlink ref="A1025" r:id="rId_hyperlink_2047" tooltip="DMP3007SCG" display="DMP3007SCG"/>
    <hyperlink ref="B1025" r:id="rId_hyperlink_2048" tooltip="DMP3007SCG Datasheet" display="DMP3007SCG Datasheet"/>
    <hyperlink ref="A1026" r:id="rId_hyperlink_2049" tooltip="DMP3007SCGQ" display="DMP3007SCGQ"/>
    <hyperlink ref="B1026" r:id="rId_hyperlink_2050" tooltip="DMP3007SCGQ Datasheet" display="DMP3007SCGQ Datasheet"/>
    <hyperlink ref="A1027" r:id="rId_hyperlink_2051" tooltip="DMP3007SFG" display="DMP3007SFG"/>
    <hyperlink ref="B1027" r:id="rId_hyperlink_2052" tooltip="DMP3007SFG Datasheet" display="DMP3007SFG Datasheet"/>
    <hyperlink ref="A1028" r:id="rId_hyperlink_2053" tooltip="DMP3007SPS" display="DMP3007SPS"/>
    <hyperlink ref="B1028" r:id="rId_hyperlink_2054" tooltip="DMP3007SPS Datasheet" display="DMP3007SPS Datasheet"/>
    <hyperlink ref="A1029" r:id="rId_hyperlink_2055" tooltip="DMP3007SPSQ" display="DMP3007SPSQ"/>
    <hyperlink ref="B1029" r:id="rId_hyperlink_2056" tooltip="DMP3007SPSQ Datasheet" display="DMP3007SPSQ Datasheet"/>
    <hyperlink ref="A1030" r:id="rId_hyperlink_2057" tooltip="DMP3008SFGQ" display="DMP3008SFGQ"/>
    <hyperlink ref="B1030" r:id="rId_hyperlink_2058" tooltip="DMP3008SFGQ Datasheet" display="DMP3008SFGQ Datasheet"/>
    <hyperlink ref="A1031" r:id="rId_hyperlink_2059" tooltip="DMP3011SFK" display="DMP3011SFK"/>
    <hyperlink ref="B1031" r:id="rId_hyperlink_2060" tooltip="DMP3011SFK Datasheet" display="DMP3011SFK Datasheet"/>
    <hyperlink ref="A1032" r:id="rId_hyperlink_2061" tooltip="DMP3011SFVW" display="DMP3011SFVW"/>
    <hyperlink ref="B1032" r:id="rId_hyperlink_2062" tooltip="DMP3011SFVW Datasheet" display="DMP3011SFVW Datasheet"/>
    <hyperlink ref="A1033" r:id="rId_hyperlink_2063" tooltip="DMP3011SFVWQ" display="DMP3011SFVWQ"/>
    <hyperlink ref="B1033" r:id="rId_hyperlink_2064" tooltip="DMP3011SFVWQ Datasheet" display="DMP3011SFVWQ Datasheet"/>
    <hyperlink ref="A1034" r:id="rId_hyperlink_2065" tooltip="DMP3011SPDW" display="DMP3011SPDW"/>
    <hyperlink ref="B1034" r:id="rId_hyperlink_2066" tooltip="DMP3011SPDW Datasheet" display="DMP3011SPDW Datasheet"/>
    <hyperlink ref="A1035" r:id="rId_hyperlink_2067" tooltip="DMP3011SPSW" display="DMP3011SPSW"/>
    <hyperlink ref="B1035" r:id="rId_hyperlink_2068" tooltip="DMP3011SPSW Datasheet" display="DMP3011SPSW Datasheet"/>
    <hyperlink ref="A1036" r:id="rId_hyperlink_2069" tooltip="DMP3011SSS" display="DMP3011SSS"/>
    <hyperlink ref="B1036" r:id="rId_hyperlink_2070" tooltip="DMP3011SSS Datasheet" display="DMP3011SSS Datasheet"/>
    <hyperlink ref="A1037" r:id="rId_hyperlink_2071" tooltip="DMP3012LPS" display="DMP3012LPS"/>
    <hyperlink ref="B1037" r:id="rId_hyperlink_2072" tooltip="DMP3012LPS Datasheet" display="DMP3012LPS Datasheet"/>
    <hyperlink ref="A1038" r:id="rId_hyperlink_2073" tooltip="DMP3013SFK" display="DMP3013SFK"/>
    <hyperlink ref="B1038" r:id="rId_hyperlink_2074" tooltip="DMP3013SFK Datasheet" display="DMP3013SFK Datasheet"/>
    <hyperlink ref="A1039" r:id="rId_hyperlink_2075" tooltip="DMP3013SFV" display="DMP3013SFV"/>
    <hyperlink ref="B1039" r:id="rId_hyperlink_2076" tooltip="DMP3013SFV Datasheet" display="DMP3013SFV Datasheet"/>
    <hyperlink ref="A1040" r:id="rId_hyperlink_2077" tooltip="DMP3017SFK" display="DMP3017SFK"/>
    <hyperlink ref="B1040" r:id="rId_hyperlink_2078" tooltip="DMP3017SFK Datasheet" display="DMP3017SFK Datasheet"/>
    <hyperlink ref="A1041" r:id="rId_hyperlink_2079" tooltip="DMP3018SFK" display="DMP3018SFK"/>
    <hyperlink ref="B1041" r:id="rId_hyperlink_2080" tooltip="DMP3018SFK Datasheet" display="DMP3018SFK Datasheet"/>
    <hyperlink ref="A1042" r:id="rId_hyperlink_2081" tooltip="DMP3018SFV" display="DMP3018SFV"/>
    <hyperlink ref="B1042" r:id="rId_hyperlink_2082" tooltip="DMP3018SFV Datasheet" display="DMP3018SFV Datasheet"/>
    <hyperlink ref="A1043" r:id="rId_hyperlink_2083" tooltip="DMP3018SSS" display="DMP3018SSS"/>
    <hyperlink ref="B1043" r:id="rId_hyperlink_2084" tooltip="DMP3018SSS Datasheet" display="DMP3018SSS Datasheet"/>
    <hyperlink ref="A1044" r:id="rId_hyperlink_2085" tooltip="DMP3020LSS" display="DMP3020LSS"/>
    <hyperlink ref="B1044" r:id="rId_hyperlink_2086" tooltip="DMP3020LSS Datasheet" display="DMP3020LSS Datasheet"/>
    <hyperlink ref="A1045" r:id="rId_hyperlink_2087" tooltip="DMP3021SFVW" display="DMP3021SFVW"/>
    <hyperlink ref="B1045" r:id="rId_hyperlink_2088" tooltip="DMP3021SFVW Datasheet" display="DMP3021SFVW Datasheet"/>
    <hyperlink ref="A1046" r:id="rId_hyperlink_2089" tooltip="DMP3021SFVWQ" display="DMP3021SFVWQ"/>
    <hyperlink ref="B1046" r:id="rId_hyperlink_2090" tooltip="DMP3021SFVWQ Datasheet" display="DMP3021SFVWQ Datasheet"/>
    <hyperlink ref="A1047" r:id="rId_hyperlink_2091" tooltip="DMP3021SPDW" display="DMP3021SPDW"/>
    <hyperlink ref="B1047" r:id="rId_hyperlink_2092" tooltip="DMP3021SPDW Datasheet" display="DMP3021SPDW Datasheet"/>
    <hyperlink ref="A1048" r:id="rId_hyperlink_2093" tooltip="DMP3021SPSW" display="DMP3021SPSW"/>
    <hyperlink ref="B1048" r:id="rId_hyperlink_2094" tooltip="DMP3021SPSW Datasheet" display="DMP3021SPSW Datasheet"/>
    <hyperlink ref="A1049" r:id="rId_hyperlink_2095" tooltip="DMP3021SSS" display="DMP3021SSS"/>
    <hyperlink ref="B1049" r:id="rId_hyperlink_2096" tooltip="DMP3021SSS Datasheet" display="DMP3021SSS Datasheet"/>
    <hyperlink ref="A1050" r:id="rId_hyperlink_2097" tooltip="DMP3025SFDF" display="DMP3025SFDF"/>
    <hyperlink ref="B1050" r:id="rId_hyperlink_2098" tooltip="DMP3025SFDF Datasheet" display="DMP3025SFDF Datasheet"/>
    <hyperlink ref="A1051" r:id="rId_hyperlink_2099" tooltip="DMP3026SFDE" display="DMP3026SFDE"/>
    <hyperlink ref="B1051" r:id="rId_hyperlink_2100" tooltip="DMP3026SFDE Datasheet" display="DMP3026SFDE Datasheet"/>
    <hyperlink ref="A1052" r:id="rId_hyperlink_2101" tooltip="DMP3026SFDF" display="DMP3026SFDF"/>
    <hyperlink ref="B1052" r:id="rId_hyperlink_2102" tooltip="DMP3026SFDF Datasheet" display="DMP3026SFDF Datasheet"/>
    <hyperlink ref="A1053" r:id="rId_hyperlink_2103" tooltip="DMP3027LFDE" display="DMP3027LFDE"/>
    <hyperlink ref="B1053" r:id="rId_hyperlink_2104" tooltip="DMP3027LFDE Datasheet" display="DMP3027LFDE Datasheet"/>
    <hyperlink ref="A1054" r:id="rId_hyperlink_2105" tooltip="DMP3027LFDEQ" display="DMP3027LFDEQ"/>
    <hyperlink ref="B1054" r:id="rId_hyperlink_2106" tooltip="DMP3027LFDEQ Datasheet" display="DMP3027LFDEQ Datasheet"/>
    <hyperlink ref="A1055" r:id="rId_hyperlink_2107" tooltip="DMP3028LFDE" display="DMP3028LFDE"/>
    <hyperlink ref="B1055" r:id="rId_hyperlink_2108" tooltip="DMP3028LFDE Datasheet" display="DMP3028LFDE Datasheet"/>
    <hyperlink ref="A1056" r:id="rId_hyperlink_2109" tooltip="DMP3028LFDEQ" display="DMP3028LFDEQ"/>
    <hyperlink ref="B1056" r:id="rId_hyperlink_2110" tooltip="DMP3028LFDEQ Datasheet" display="DMP3028LFDEQ Datasheet"/>
    <hyperlink ref="A1057" r:id="rId_hyperlink_2111" tooltip="DMP3028LK3" display="DMP3028LK3"/>
    <hyperlink ref="B1057" r:id="rId_hyperlink_2112" tooltip="DMP3028LK3 Datasheet" display="DMP3028LK3 Datasheet"/>
    <hyperlink ref="A1058" r:id="rId_hyperlink_2113" tooltip="DMP3028LK3Q" display="DMP3028LK3Q"/>
    <hyperlink ref="B1058" r:id="rId_hyperlink_2114" tooltip="DMP3028LK3Q Datasheet" display="DMP3028LK3Q Datasheet"/>
    <hyperlink ref="A1059" r:id="rId_hyperlink_2115" tooltip="DMP3028LPSQ" display="DMP3028LPSQ"/>
    <hyperlink ref="B1059" r:id="rId_hyperlink_2116" tooltip="DMP3028LPSQ Datasheet" display="DMP3028LPSQ Datasheet"/>
    <hyperlink ref="A1060" r:id="rId_hyperlink_2117" tooltip="DMP3028LPSW" display="DMP3028LPSW"/>
    <hyperlink ref="B1060" r:id="rId_hyperlink_2118" tooltip="DMP3028LPSW Datasheet" display="DMP3028LPSW Datasheet"/>
    <hyperlink ref="A1061" r:id="rId_hyperlink_2119" tooltip="DMP3028LSD" display="DMP3028LSD"/>
    <hyperlink ref="B1061" r:id="rId_hyperlink_2120" tooltip="DMP3028LSD Datasheet" display="DMP3028LSD Datasheet"/>
    <hyperlink ref="A1062" r:id="rId_hyperlink_2121" tooltip="DMP3030SN" display="DMP3030SN"/>
    <hyperlink ref="B1062" r:id="rId_hyperlink_2122" tooltip="DMP3030SN Datasheet" display="DMP3030SN Datasheet"/>
    <hyperlink ref="A1063" r:id="rId_hyperlink_2123" tooltip="DMP3035LSS" display="DMP3035LSS"/>
    <hyperlink ref="B1063" r:id="rId_hyperlink_2124" tooltip="DMP3035LSS Datasheet" display="DMP3035LSS Datasheet"/>
    <hyperlink ref="A1064" r:id="rId_hyperlink_2125" tooltip="DMP3036SFG" display="DMP3036SFG"/>
    <hyperlink ref="B1064" r:id="rId_hyperlink_2126" tooltip="DMP3036SFG Datasheet" display="DMP3036SFG Datasheet"/>
    <hyperlink ref="A1065" r:id="rId_hyperlink_2127" tooltip="DMP3036SFV" display="DMP3036SFV"/>
    <hyperlink ref="B1065" r:id="rId_hyperlink_2128" tooltip="DMP3036SFV Datasheet" display="DMP3036SFV Datasheet"/>
    <hyperlink ref="A1066" r:id="rId_hyperlink_2129" tooltip="DMP3036SFVQ" display="DMP3036SFVQ"/>
    <hyperlink ref="B1066" r:id="rId_hyperlink_2130" tooltip="DMP3036SFVQ Datasheet" display="DMP3036SFVQ Datasheet"/>
    <hyperlink ref="A1067" r:id="rId_hyperlink_2131" tooltip="DMP3036SSD" display="DMP3036SSD"/>
    <hyperlink ref="B1067" r:id="rId_hyperlink_2132" tooltip="DMP3036SSD Datasheet" display="DMP3036SSD Datasheet"/>
    <hyperlink ref="A1068" r:id="rId_hyperlink_2133" tooltip="DMP3036SSS" display="DMP3036SSS"/>
    <hyperlink ref="B1068" r:id="rId_hyperlink_2134" tooltip="DMP3036SSS Datasheet" display="DMP3036SSS Datasheet"/>
    <hyperlink ref="A1069" r:id="rId_hyperlink_2135" tooltip="DMP3037LSS" display="DMP3037LSS"/>
    <hyperlink ref="B1069" r:id="rId_hyperlink_2136" tooltip="DMP3037LSS Datasheet" display="DMP3037LSS Datasheet"/>
    <hyperlink ref="A1070" r:id="rId_hyperlink_2137" tooltip="DMP3037LSSQ" display="DMP3037LSSQ"/>
    <hyperlink ref="B1070" r:id="rId_hyperlink_2138" tooltip="DMP3037LSSQ Datasheet" display="DMP3037LSSQ Datasheet"/>
    <hyperlink ref="A1071" r:id="rId_hyperlink_2139" tooltip="DMP3045LFVW" display="DMP3045LFVW"/>
    <hyperlink ref="B1071" r:id="rId_hyperlink_2140" tooltip="DMP3045LFVW Datasheet" display="DMP3045LFVW Datasheet"/>
    <hyperlink ref="A1072" r:id="rId_hyperlink_2141" tooltip="DMP3045LFVWQ" display="DMP3045LFVWQ"/>
    <hyperlink ref="B1072" r:id="rId_hyperlink_2142" tooltip="DMP3045LFVWQ Datasheet" display="DMP3045LFVWQ Datasheet"/>
    <hyperlink ref="A1073" r:id="rId_hyperlink_2143" tooltip="DMP3045LVT" display="DMP3045LVT"/>
    <hyperlink ref="B1073" r:id="rId_hyperlink_2144" tooltip="DMP3045LVT Datasheet" display="DMP3045LVT Datasheet"/>
    <hyperlink ref="A1074" r:id="rId_hyperlink_2145" tooltip="DMP3045LVTQ" display="DMP3045LVTQ"/>
    <hyperlink ref="B1074" r:id="rId_hyperlink_2146" tooltip="DMP3045LVTQ Datasheet" display="DMP3045LVTQ Datasheet"/>
    <hyperlink ref="A1075" r:id="rId_hyperlink_2147" tooltip="DMP3048LSD" display="DMP3048LSD"/>
    <hyperlink ref="B1075" r:id="rId_hyperlink_2148" tooltip="DMP3048LSD Datasheet" display="DMP3048LSD Datasheet"/>
    <hyperlink ref="A1076" r:id="rId_hyperlink_2149" tooltip="DMP3050LSS" display="DMP3050LSS"/>
    <hyperlink ref="B1076" r:id="rId_hyperlink_2150" tooltip="DMP3050LSS Datasheet" display="DMP3050LSS Datasheet"/>
    <hyperlink ref="A1077" r:id="rId_hyperlink_2151" tooltip="DMP3050LVT" display="DMP3050LVT"/>
    <hyperlink ref="B1077" r:id="rId_hyperlink_2152" tooltip="DMP3050LVT Datasheet" display="DMP3050LVT Datasheet"/>
    <hyperlink ref="A1078" r:id="rId_hyperlink_2153" tooltip="DMP3050LVTQ" display="DMP3050LVTQ"/>
    <hyperlink ref="B1078" r:id="rId_hyperlink_2154" tooltip="DMP3050LVTQ Datasheet" display="DMP3050LVTQ Datasheet"/>
    <hyperlink ref="A1079" r:id="rId_hyperlink_2155" tooltip="DMP3056L" display="DMP3056L"/>
    <hyperlink ref="B1079" r:id="rId_hyperlink_2156" tooltip="DMP3056L Datasheet" display="DMP3056L Datasheet"/>
    <hyperlink ref="A1080" r:id="rId_hyperlink_2157" tooltip="DMP3056LDM" display="DMP3056LDM"/>
    <hyperlink ref="B1080" r:id="rId_hyperlink_2158" tooltip="DMP3056LDM Datasheet" display="DMP3056LDM Datasheet"/>
    <hyperlink ref="A1081" r:id="rId_hyperlink_2159" tooltip="DMP3056LSD" display="DMP3056LSD"/>
    <hyperlink ref="B1081" r:id="rId_hyperlink_2160" tooltip="DMP3056LSD Datasheet" display="DMP3056LSD Datasheet"/>
    <hyperlink ref="A1082" r:id="rId_hyperlink_2161" tooltip="DMP3056LSDQ" display="DMP3056LSDQ"/>
    <hyperlink ref="B1082" r:id="rId_hyperlink_2162" tooltip="DMP3056LSDQ Datasheet" display="DMP3056LSDQ Datasheet"/>
    <hyperlink ref="A1083" r:id="rId_hyperlink_2163" tooltip="DMP3056LSS" display="DMP3056LSS"/>
    <hyperlink ref="B1083" r:id="rId_hyperlink_2164" tooltip="DMP3056LSS Datasheet" display="DMP3056LSS Datasheet"/>
    <hyperlink ref="A1084" r:id="rId_hyperlink_2165" tooltip="DMP3056LSSQ" display="DMP3056LSSQ"/>
    <hyperlink ref="B1084" r:id="rId_hyperlink_2166" tooltip="DMP3056LSSQ Datasheet" display="DMP3056LSSQ Datasheet"/>
    <hyperlink ref="A1085" r:id="rId_hyperlink_2167" tooltip="DMP3065LVT" display="DMP3065LVT"/>
    <hyperlink ref="B1085" r:id="rId_hyperlink_2168" tooltip="DMP3065LVT Datasheet" display="DMP3065LVT Datasheet"/>
    <hyperlink ref="A1086" r:id="rId_hyperlink_2169" tooltip="DMP3068L" display="DMP3068L"/>
    <hyperlink ref="B1086" r:id="rId_hyperlink_2170" tooltip="DMP3068L Datasheet" display="DMP3068L Datasheet"/>
    <hyperlink ref="A1087" r:id="rId_hyperlink_2171" tooltip="DMP3068LVT" display="DMP3068LVT"/>
    <hyperlink ref="B1087" r:id="rId_hyperlink_2172" tooltip="DMP3068LVT Datasheet" display="DMP3068LVT Datasheet"/>
    <hyperlink ref="A1088" r:id="rId_hyperlink_2173" tooltip="DMP3085LSD" display="DMP3085LSD"/>
    <hyperlink ref="B1088" r:id="rId_hyperlink_2174" tooltip="DMP3085LSD Datasheet" display="DMP3085LSD Datasheet"/>
    <hyperlink ref="A1089" r:id="rId_hyperlink_2175" tooltip="DMP3085LSS" display="DMP3085LSS"/>
    <hyperlink ref="B1089" r:id="rId_hyperlink_2176" tooltip="DMP3085LSS Datasheet" display="DMP3085LSS Datasheet"/>
    <hyperlink ref="A1090" r:id="rId_hyperlink_2177" tooltip="DMP3096L" display="DMP3096L"/>
    <hyperlink ref="B1090" r:id="rId_hyperlink_2178" tooltip="DMP3096L Datasheet" display="DMP3096L Datasheet"/>
    <hyperlink ref="A1091" r:id="rId_hyperlink_2179" tooltip="DMP3096LQ" display="DMP3096LQ"/>
    <hyperlink ref="B1091" r:id="rId_hyperlink_2180" tooltip="DMP3096LQ Datasheet" display="DMP3096LQ Datasheet"/>
    <hyperlink ref="A1092" r:id="rId_hyperlink_2181" tooltip="DMP3097L" display="DMP3097L"/>
    <hyperlink ref="B1092" r:id="rId_hyperlink_2182" tooltip="DMP3097L Datasheet" display="DMP3097L Datasheet"/>
    <hyperlink ref="A1093" r:id="rId_hyperlink_2183" tooltip="DMP3097LQ" display="DMP3097LQ"/>
    <hyperlink ref="B1093" r:id="rId_hyperlink_2184" tooltip="DMP3097LQ Datasheet" display="DMP3097LQ Datasheet"/>
    <hyperlink ref="A1094" r:id="rId_hyperlink_2185" tooltip="DMP3098L" display="DMP3098L"/>
    <hyperlink ref="B1094" r:id="rId_hyperlink_2186" tooltip="DMP3098L Datasheet" display="DMP3098L Datasheet"/>
    <hyperlink ref="A1095" r:id="rId_hyperlink_2187" tooltip="DMP3098LDM" display="DMP3098LDM"/>
    <hyperlink ref="B1095" r:id="rId_hyperlink_2188" tooltip="DMP3098LDM Datasheet" display="DMP3098LDM Datasheet"/>
    <hyperlink ref="A1096" r:id="rId_hyperlink_2189" tooltip="DMP3098LQ" display="DMP3098LQ"/>
    <hyperlink ref="B1096" r:id="rId_hyperlink_2190" tooltip="DMP3098LQ Datasheet" display="DMP3098LQ Datasheet"/>
    <hyperlink ref="A1097" r:id="rId_hyperlink_2191" tooltip="DMP3098LSD" display="DMP3098LSD"/>
    <hyperlink ref="B1097" r:id="rId_hyperlink_2192" tooltip="DMP3098LSD Datasheet" display="DMP3098LSD Datasheet"/>
    <hyperlink ref="A1098" r:id="rId_hyperlink_2193" tooltip="DMP3098LSS" display="DMP3098LSS"/>
    <hyperlink ref="B1098" r:id="rId_hyperlink_2194" tooltip="DMP3098LSS Datasheet" display="DMP3098LSS Datasheet"/>
    <hyperlink ref="A1099" r:id="rId_hyperlink_2195" tooltip="DMP3099L" display="DMP3099L"/>
    <hyperlink ref="B1099" r:id="rId_hyperlink_2196" tooltip="DMP3099L Datasheet" display="DMP3099L Datasheet"/>
    <hyperlink ref="A1100" r:id="rId_hyperlink_2197" tooltip="DMP3099LQ" display="DMP3099LQ"/>
    <hyperlink ref="B1100" r:id="rId_hyperlink_2198" tooltip="DMP3099LQ Datasheet" display="DMP3099LQ Datasheet"/>
    <hyperlink ref="A1101" r:id="rId_hyperlink_2199" tooltip="DMP3105LVT" display="DMP3105LVT"/>
    <hyperlink ref="B1101" r:id="rId_hyperlink_2200" tooltip="DMP3105LVT Datasheet" display="DMP3105LVT Datasheet"/>
    <hyperlink ref="A1102" r:id="rId_hyperlink_2201" tooltip="DMP3125L" display="DMP3125L"/>
    <hyperlink ref="B1102" r:id="rId_hyperlink_2202" tooltip="DMP3125L Datasheet" display="DMP3125L Datasheet"/>
    <hyperlink ref="A1103" r:id="rId_hyperlink_2203" tooltip="DMP3130LQ" display="DMP3130LQ"/>
    <hyperlink ref="B1103" r:id="rId_hyperlink_2204" tooltip="DMP3130LQ Datasheet" display="DMP3130LQ Datasheet"/>
    <hyperlink ref="A1104" r:id="rId_hyperlink_2205" tooltip="DMP3160L" display="DMP3160L"/>
    <hyperlink ref="B1104" r:id="rId_hyperlink_2206" tooltip="DMP3160L Datasheet" display="DMP3160L Datasheet"/>
    <hyperlink ref="A1105" r:id="rId_hyperlink_2207" tooltip="DMP3164LVT" display="DMP3164LVT"/>
    <hyperlink ref="B1105" r:id="rId_hyperlink_2208" tooltip="DMP3164LVT Datasheet" display="DMP3164LVT Datasheet"/>
    <hyperlink ref="A1106" r:id="rId_hyperlink_2209" tooltip="DMP3165L" display="DMP3165L"/>
    <hyperlink ref="B1106" r:id="rId_hyperlink_2210" tooltip="DMP3165L Datasheet" display="DMP3165L Datasheet"/>
    <hyperlink ref="A1107" r:id="rId_hyperlink_2211" tooltip="DMP3165LQ" display="DMP3165LQ"/>
    <hyperlink ref="B1107" r:id="rId_hyperlink_2212" tooltip="DMP3165LQ Datasheet" display="DMP3165LQ Datasheet"/>
    <hyperlink ref="A1108" r:id="rId_hyperlink_2213" tooltip="DMP3165SVTQ" display="DMP3165SVTQ"/>
    <hyperlink ref="B1108" r:id="rId_hyperlink_2214" tooltip="DMP3165SVTQ Datasheet" display="DMP3165SVTQ Datasheet"/>
    <hyperlink ref="A1109" r:id="rId_hyperlink_2215" tooltip="DMP31D0U" display="DMP31D0U"/>
    <hyperlink ref="B1109" r:id="rId_hyperlink_2216" tooltip="DMP31D0U Datasheet" display="DMP31D0U Datasheet"/>
    <hyperlink ref="A1110" r:id="rId_hyperlink_2217" tooltip="DMP31D0UFB4" display="DMP31D0UFB4"/>
    <hyperlink ref="B1110" r:id="rId_hyperlink_2218" tooltip="DMP31D0UFB4 Datasheet" display="DMP31D0UFB4 Datasheet"/>
    <hyperlink ref="A1111" r:id="rId_hyperlink_2219" tooltip="DMP31D1U" display="DMP31D1U"/>
    <hyperlink ref="B1111" r:id="rId_hyperlink_2220" tooltip="DMP31D1U Datasheet" display="DMP31D1U Datasheet"/>
    <hyperlink ref="A1112" r:id="rId_hyperlink_2221" tooltip="DMP31D1UDW" display="DMP31D1UDW"/>
    <hyperlink ref="B1112" r:id="rId_hyperlink_2222" tooltip="DMP31D1UDW Datasheet" display="DMP31D1UDW Datasheet"/>
    <hyperlink ref="A1113" r:id="rId_hyperlink_2223" tooltip="DMP31D1UDWQ" display="DMP31D1UDWQ"/>
    <hyperlink ref="B1113" r:id="rId_hyperlink_2224" tooltip="DMP31D1UDWQ Datasheet" display="DMP31D1UDWQ Datasheet"/>
    <hyperlink ref="A1114" r:id="rId_hyperlink_2225" tooltip="DMP31D1UFB4" display="DMP31D1UFB4"/>
    <hyperlink ref="B1114" r:id="rId_hyperlink_2226" tooltip="DMP31D1UFB4 Datasheet" display="DMP31D1UFB4 Datasheet"/>
    <hyperlink ref="A1115" r:id="rId_hyperlink_2227" tooltip="DMP31D1UFB4Q" display="DMP31D1UFB4Q"/>
    <hyperlink ref="B1115" r:id="rId_hyperlink_2228" tooltip="DMP31D1UFB4Q Datasheet" display="DMP31D1UFB4Q Datasheet"/>
    <hyperlink ref="A1116" r:id="rId_hyperlink_2229" tooltip="DMP31D1UQ" display="DMP31D1UQ"/>
    <hyperlink ref="B1116" r:id="rId_hyperlink_2230" tooltip="DMP31D1UQ Datasheet" display="DMP31D1UQ Datasheet"/>
    <hyperlink ref="A1117" r:id="rId_hyperlink_2231" tooltip="DMP31D1UVT" display="DMP31D1UVT"/>
    <hyperlink ref="B1117" r:id="rId_hyperlink_2232" tooltip="DMP31D1UVT Datasheet" display="DMP31D1UVT Datasheet"/>
    <hyperlink ref="A1118" r:id="rId_hyperlink_2233" tooltip="DMP31D1UVTQ" display="DMP31D1UVTQ"/>
    <hyperlink ref="B1118" r:id="rId_hyperlink_2234" tooltip="DMP31D1UVTQ Datasheet" display="DMP31D1UVTQ Datasheet"/>
    <hyperlink ref="A1119" r:id="rId_hyperlink_2235" tooltip="DMP31D1UW" display="DMP31D1UW"/>
    <hyperlink ref="B1119" r:id="rId_hyperlink_2236" tooltip="DMP31D1UW Datasheet" display="DMP31D1UW Datasheet"/>
    <hyperlink ref="A1120" r:id="rId_hyperlink_2237" tooltip="DMP31D1UWQ" display="DMP31D1UWQ"/>
    <hyperlink ref="B1120" r:id="rId_hyperlink_2238" tooltip="DMP31D1UWQ Datasheet" display="DMP31D1UWQ Datasheet"/>
    <hyperlink ref="A1121" r:id="rId_hyperlink_2239" tooltip="DMP31D7L" display="DMP31D7L"/>
    <hyperlink ref="B1121" r:id="rId_hyperlink_2240" tooltip="DMP31D7L Datasheet" display="DMP31D7L Datasheet"/>
    <hyperlink ref="A1122" r:id="rId_hyperlink_2241" tooltip="DMP31D7LDW" display="DMP31D7LDW"/>
    <hyperlink ref="B1122" r:id="rId_hyperlink_2242" tooltip="DMP31D7LDW Datasheet" display="DMP31D7LDW Datasheet"/>
    <hyperlink ref="A1123" r:id="rId_hyperlink_2243" tooltip="DMP31D7LDWQ" display="DMP31D7LDWQ"/>
    <hyperlink ref="B1123" r:id="rId_hyperlink_2244" tooltip="DMP31D7LDWQ Datasheet" display="DMP31D7LDWQ Datasheet"/>
    <hyperlink ref="A1124" r:id="rId_hyperlink_2245" tooltip="DMP31D7LFB" display="DMP31D7LFB"/>
    <hyperlink ref="B1124" r:id="rId_hyperlink_2246" tooltip="DMP31D7LFB Datasheet" display="DMP31D7LFB Datasheet"/>
    <hyperlink ref="A1125" r:id="rId_hyperlink_2247" tooltip="DMP31D7LFBQ" display="DMP31D7LFBQ"/>
    <hyperlink ref="B1125" r:id="rId_hyperlink_2248" tooltip="DMP31D7LFBQ Datasheet" display="DMP31D7LFBQ Datasheet"/>
    <hyperlink ref="A1126" r:id="rId_hyperlink_2249" tooltip="DMP31D7LQ" display="DMP31D7LQ"/>
    <hyperlink ref="B1126" r:id="rId_hyperlink_2250" tooltip="DMP31D7LQ Datasheet" display="DMP31D7LQ Datasheet"/>
    <hyperlink ref="A1127" r:id="rId_hyperlink_2251" tooltip="DMP31D7LT" display="DMP31D7LT"/>
    <hyperlink ref="B1127" r:id="rId_hyperlink_2252" tooltip="DMP31D7LT Datasheet" display="DMP31D7LT Datasheet"/>
    <hyperlink ref="A1128" r:id="rId_hyperlink_2253" tooltip="DMP31D7LTQ" display="DMP31D7LTQ"/>
    <hyperlink ref="B1128" r:id="rId_hyperlink_2254" tooltip="DMP31D7LTQ Datasheet" display="DMP31D7LTQ Datasheet"/>
    <hyperlink ref="A1129" r:id="rId_hyperlink_2255" tooltip="DMP31D7LV" display="DMP31D7LV"/>
    <hyperlink ref="B1129" r:id="rId_hyperlink_2256" tooltip="DMP31D7LV Datasheet" display="DMP31D7LV Datasheet"/>
    <hyperlink ref="A1130" r:id="rId_hyperlink_2257" tooltip="DMP31D7LVQ" display="DMP31D7LVQ"/>
    <hyperlink ref="B1130" r:id="rId_hyperlink_2258" tooltip="DMP31D7LVQ Datasheet" display="DMP31D7LVQ Datasheet"/>
    <hyperlink ref="A1131" r:id="rId_hyperlink_2259" tooltip="DMP31D7LW" display="DMP31D7LW"/>
    <hyperlink ref="B1131" r:id="rId_hyperlink_2260" tooltip="DMP31D7LW Datasheet" display="DMP31D7LW Datasheet"/>
    <hyperlink ref="A1132" r:id="rId_hyperlink_2261" tooltip="DMP31D7LWQ" display="DMP31D7LWQ"/>
    <hyperlink ref="B1132" r:id="rId_hyperlink_2262" tooltip="DMP31D7LWQ Datasheet" display="DMP31D7LWQ Datasheet"/>
    <hyperlink ref="A1133" r:id="rId_hyperlink_2263" tooltip="DMP32D4S" display="DMP32D4S"/>
    <hyperlink ref="B1133" r:id="rId_hyperlink_2264" tooltip="DMP32D4S Datasheet" display="DMP32D4S Datasheet"/>
    <hyperlink ref="A1134" r:id="rId_hyperlink_2265" tooltip="DMP32D4SFB" display="DMP32D4SFB"/>
    <hyperlink ref="B1134" r:id="rId_hyperlink_2266" tooltip="DMP32D4SFB Datasheet" display="DMP32D4SFB Datasheet"/>
    <hyperlink ref="A1135" r:id="rId_hyperlink_2267" tooltip="DMP32D4SW" display="DMP32D4SW"/>
    <hyperlink ref="B1135" r:id="rId_hyperlink_2268" tooltip="DMP32D4SW Datasheet" display="DMP32D4SW Datasheet"/>
    <hyperlink ref="A1136" r:id="rId_hyperlink_2269" tooltip="DMP32D5LFA" display="DMP32D5LFA"/>
    <hyperlink ref="B1136" r:id="rId_hyperlink_2270" tooltip="DMP32D5LFA Datasheet" display="DMP32D5LFA Datasheet"/>
    <hyperlink ref="A1137" r:id="rId_hyperlink_2271" tooltip="DMP32D5SFB" display="DMP32D5SFB"/>
    <hyperlink ref="B1137" r:id="rId_hyperlink_2272" tooltip="DMP32D5SFB Datasheet" display="DMP32D5SFB Datasheet"/>
    <hyperlink ref="A1138" r:id="rId_hyperlink_2273" tooltip="DMP32D8UFZ" display="DMP32D8UFZ"/>
    <hyperlink ref="B1138" r:id="rId_hyperlink_2274" tooltip="DMP32D8UFZ Datasheet" display="DMP32D8UFZ Datasheet"/>
    <hyperlink ref="A1139" r:id="rId_hyperlink_2275" tooltip="DMP32D9UDA" display="DMP32D9UDA"/>
    <hyperlink ref="B1139" r:id="rId_hyperlink_2276" tooltip="DMP32D9UDA Datasheet" display="DMP32D9UDA Datasheet"/>
    <hyperlink ref="A1140" r:id="rId_hyperlink_2277" tooltip="DMP32D9UDAQ" display="DMP32D9UDAQ"/>
    <hyperlink ref="B1140" r:id="rId_hyperlink_2278" tooltip="DMP32D9UDAQ Datasheet" display="DMP32D9UDAQ Datasheet"/>
    <hyperlink ref="A1141" r:id="rId_hyperlink_2279" tooltip="DMP32D9UFA" display="DMP32D9UFA"/>
    <hyperlink ref="B1141" r:id="rId_hyperlink_2280" tooltip="DMP32D9UFA Datasheet" display="DMP32D9UFA Datasheet"/>
    <hyperlink ref="A1142" r:id="rId_hyperlink_2281" tooltip="DMP32D9UFO" display="DMP32D9UFO"/>
    <hyperlink ref="B1142" r:id="rId_hyperlink_2282" tooltip="DMP32D9UFO Datasheet" display="DMP32D9UFO Datasheet"/>
    <hyperlink ref="A1143" r:id="rId_hyperlink_2283" tooltip="DMP32D9UFZ" display="DMP32D9UFZ"/>
    <hyperlink ref="B1143" r:id="rId_hyperlink_2284" tooltip="DMP32D9UFZ Datasheet" display="DMP32D9UFZ Datasheet"/>
    <hyperlink ref="A1144" r:id="rId_hyperlink_2285" tooltip="DMP32M6SPS" display="DMP32M6SPS"/>
    <hyperlink ref="B1144" r:id="rId_hyperlink_2286" tooltip="DMP32M6SPS Datasheet" display="DMP32M6SPS Datasheet"/>
    <hyperlink ref="A1145" r:id="rId_hyperlink_2287" tooltip="DMP34M4SPS" display="DMP34M4SPS"/>
    <hyperlink ref="B1145" r:id="rId_hyperlink_2288" tooltip="DMP34M4SPS Datasheet" display="DMP34M4SPS Datasheet"/>
    <hyperlink ref="A1146" r:id="rId_hyperlink_2289" tooltip="DMP4006SPSW" display="DMP4006SPSW"/>
    <hyperlink ref="B1146" r:id="rId_hyperlink_2290" tooltip="DMP4006SPSW Datasheet" display="DMP4006SPSW Datasheet"/>
    <hyperlink ref="A1147" r:id="rId_hyperlink_2291" tooltip="DMP4006SPSWQ" display="DMP4006SPSWQ"/>
    <hyperlink ref="B1147" r:id="rId_hyperlink_2292" tooltip="DMP4006SPSWQ Datasheet" display="DMP4006SPSWQ Datasheet"/>
    <hyperlink ref="A1148" r:id="rId_hyperlink_2293" tooltip="DMP4009SPSW" display="DMP4009SPSW"/>
    <hyperlink ref="B1148" r:id="rId_hyperlink_2294" tooltip="DMP4009SPSW Datasheet" display="DMP4009SPSW Datasheet"/>
    <hyperlink ref="A1149" r:id="rId_hyperlink_2295" tooltip="DMP4009SPSWQ" display="DMP4009SPSWQ"/>
    <hyperlink ref="B1149" r:id="rId_hyperlink_2296" tooltip="DMP4009SPSWQ Datasheet" display="DMP4009SPSWQ Datasheet"/>
    <hyperlink ref="A1150" r:id="rId_hyperlink_2297" tooltip="DMP4009SSS" display="DMP4009SSS"/>
    <hyperlink ref="B1150" r:id="rId_hyperlink_2298" tooltip="DMP4009SSS Datasheet" display="DMP4009SSS Datasheet"/>
    <hyperlink ref="A1151" r:id="rId_hyperlink_2299" tooltip="DMP4009SSSQ" display="DMP4009SSSQ"/>
    <hyperlink ref="B1151" r:id="rId_hyperlink_2300" tooltip="DMP4009SSSQ Datasheet" display="DMP4009SSSQ Datasheet"/>
    <hyperlink ref="A1152" r:id="rId_hyperlink_2301" tooltip="DMP4010SK3" display="DMP4010SK3"/>
    <hyperlink ref="B1152" r:id="rId_hyperlink_2302" tooltip="DMP4010SK3 Datasheet" display="DMP4010SK3 Datasheet"/>
    <hyperlink ref="A1153" r:id="rId_hyperlink_2303" tooltip="DMP4010SK3Q" display="DMP4010SK3Q"/>
    <hyperlink ref="B1153" r:id="rId_hyperlink_2304" tooltip="DMP4010SK3Q Datasheet" display="DMP4010SK3Q Datasheet"/>
    <hyperlink ref="A1154" r:id="rId_hyperlink_2305" tooltip="DMP4011SK3" display="DMP4011SK3"/>
    <hyperlink ref="B1154" r:id="rId_hyperlink_2306" tooltip="DMP4011SK3 Datasheet" display="DMP4011SK3 Datasheet"/>
    <hyperlink ref="A1155" r:id="rId_hyperlink_2307" tooltip="DMP4011SK3Q" display="DMP4011SK3Q"/>
    <hyperlink ref="B1155" r:id="rId_hyperlink_2308" tooltip="DMP4011SK3Q Datasheet" display="DMP4011SK3Q Datasheet"/>
    <hyperlink ref="A1156" r:id="rId_hyperlink_2309" tooltip="DMP4011SPS" display="DMP4011SPS"/>
    <hyperlink ref="B1156" r:id="rId_hyperlink_2310" tooltip="DMP4011SPS Datasheet" display="DMP4011SPS Datasheet"/>
    <hyperlink ref="A1157" r:id="rId_hyperlink_2311" tooltip="DMP4011SPSQ" display="DMP4011SPSQ"/>
    <hyperlink ref="B1157" r:id="rId_hyperlink_2312" tooltip="DMP4011SPSQ Datasheet" display="DMP4011SPSQ Datasheet"/>
    <hyperlink ref="A1158" r:id="rId_hyperlink_2313" tooltip="DMP4011SPSWQ" display="DMP4011SPSWQ"/>
    <hyperlink ref="B1158" r:id="rId_hyperlink_2314" tooltip="DMP4011SPSWQ Datasheet" display="DMP4011SPSWQ Datasheet"/>
    <hyperlink ref="A1159" r:id="rId_hyperlink_2315" tooltip="DMP4013LFG" display="DMP4013LFG"/>
    <hyperlink ref="B1159" r:id="rId_hyperlink_2316" tooltip="DMP4013LFG Datasheet" display="DMP4013LFG Datasheet"/>
    <hyperlink ref="A1160" r:id="rId_hyperlink_2317" tooltip="DMP4013LFGQ" display="DMP4013LFGQ"/>
    <hyperlink ref="B1160" r:id="rId_hyperlink_2318" tooltip="DMP4013LFGQ Datasheet" display="DMP4013LFGQ Datasheet"/>
    <hyperlink ref="A1161" r:id="rId_hyperlink_2319" tooltip="DMP4013SPS" display="DMP4013SPS"/>
    <hyperlink ref="B1161" r:id="rId_hyperlink_2320" tooltip="DMP4013SPS Datasheet" display="DMP4013SPS Datasheet"/>
    <hyperlink ref="A1162" r:id="rId_hyperlink_2321" tooltip="DMP4013SPSQ" display="DMP4013SPSQ"/>
    <hyperlink ref="B1162" r:id="rId_hyperlink_2322" tooltip="DMP4013SPSQ Datasheet" display="DMP4013SPSQ Datasheet"/>
    <hyperlink ref="A1163" r:id="rId_hyperlink_2323" tooltip="DMP4013SPSWQ" display="DMP4013SPSWQ"/>
    <hyperlink ref="B1163" r:id="rId_hyperlink_2324" tooltip="DMP4013SPSWQ Datasheet" display="DMP4013SPSWQ Datasheet"/>
    <hyperlink ref="A1164" r:id="rId_hyperlink_2325" tooltip="DMP4015SK3" display="DMP4015SK3"/>
    <hyperlink ref="B1164" r:id="rId_hyperlink_2326" tooltip="DMP4015SK3 Datasheet" display="DMP4015SK3 Datasheet"/>
    <hyperlink ref="A1165" r:id="rId_hyperlink_2327" tooltip="DMP4015SK3Q" display="DMP4015SK3Q"/>
    <hyperlink ref="B1165" r:id="rId_hyperlink_2328" tooltip="DMP4015SK3Q Datasheet" display="DMP4015SK3Q Datasheet"/>
    <hyperlink ref="A1166" r:id="rId_hyperlink_2329" tooltip="DMP4015SPS" display="DMP4015SPS"/>
    <hyperlink ref="B1166" r:id="rId_hyperlink_2330" tooltip="DMP4015SPS Datasheet" display="DMP4015SPS Datasheet"/>
    <hyperlink ref="A1167" r:id="rId_hyperlink_2331" tooltip="DMP4015SPSQ" display="DMP4015SPSQ"/>
    <hyperlink ref="B1167" r:id="rId_hyperlink_2332" tooltip="DMP4015SPSQ Datasheet" display="DMP4015SPSQ Datasheet"/>
    <hyperlink ref="A1168" r:id="rId_hyperlink_2333" tooltip="DMP4015SPSWQ" display="DMP4015SPSWQ"/>
    <hyperlink ref="B1168" r:id="rId_hyperlink_2334" tooltip="DMP4015SPSWQ Datasheet" display="DMP4015SPSWQ Datasheet"/>
    <hyperlink ref="A1169" r:id="rId_hyperlink_2335" tooltip="DMP4015SSS" display="DMP4015SSS"/>
    <hyperlink ref="B1169" r:id="rId_hyperlink_2336" tooltip="DMP4015SSS Datasheet" display="DMP4015SSS Datasheet"/>
    <hyperlink ref="A1170" r:id="rId_hyperlink_2337" tooltip="DMP4015SSSQ" display="DMP4015SSSQ"/>
    <hyperlink ref="B1170" r:id="rId_hyperlink_2338" tooltip="DMP4015SSSQ Datasheet" display="DMP4015SSSQ Datasheet"/>
    <hyperlink ref="A1171" r:id="rId_hyperlink_2339" tooltip="DMP4016SK3" display="DMP4016SK3"/>
    <hyperlink ref="B1171" r:id="rId_hyperlink_2340" tooltip="DMP4016SK3 Datasheet" display="DMP4016SK3 Datasheet"/>
    <hyperlink ref="A1172" r:id="rId_hyperlink_2341" tooltip="DMP4016SK3Q" display="DMP4016SK3Q"/>
    <hyperlink ref="B1172" r:id="rId_hyperlink_2342" tooltip="DMP4016SK3Q Datasheet" display="DMP4016SK3Q Datasheet"/>
    <hyperlink ref="A1173" r:id="rId_hyperlink_2343" tooltip="DMP4016SPSW" display="DMP4016SPSW"/>
    <hyperlink ref="B1173" r:id="rId_hyperlink_2344" tooltip="DMP4016SPSW Datasheet" display="DMP4016SPSW Datasheet"/>
    <hyperlink ref="A1174" r:id="rId_hyperlink_2345" tooltip="DMP4016SPSWQ" display="DMP4016SPSWQ"/>
    <hyperlink ref="B1174" r:id="rId_hyperlink_2346" tooltip="DMP4016SPSWQ Datasheet" display="DMP4016SPSWQ Datasheet"/>
    <hyperlink ref="A1175" r:id="rId_hyperlink_2347" tooltip="DMP4016SSS" display="DMP4016SSS"/>
    <hyperlink ref="B1175" r:id="rId_hyperlink_2348" tooltip="DMP4016SSS Datasheet" display="DMP4016SSS Datasheet"/>
    <hyperlink ref="A1176" r:id="rId_hyperlink_2349" tooltip="DMP4016SSSQ" display="DMP4016SSSQ"/>
    <hyperlink ref="B1176" r:id="rId_hyperlink_2350" tooltip="DMP4016SSSQ Datasheet" display="DMP4016SSSQ Datasheet"/>
    <hyperlink ref="A1177" r:id="rId_hyperlink_2351" tooltip="DMP4025LK3Q" display="DMP4025LK3Q"/>
    <hyperlink ref="B1177" r:id="rId_hyperlink_2352" tooltip="DMP4025LK3Q Datasheet" display="DMP4025LK3Q Datasheet"/>
    <hyperlink ref="A1178" r:id="rId_hyperlink_2353" tooltip="DMP4025LSS" display="DMP4025LSS"/>
    <hyperlink ref="B1178" r:id="rId_hyperlink_2354" tooltip="DMP4025LSS Datasheet" display="DMP4025LSS Datasheet"/>
    <hyperlink ref="A1179" r:id="rId_hyperlink_2355" tooltip="DMP4025LSSQ" display="DMP4025LSSQ"/>
    <hyperlink ref="B1179" r:id="rId_hyperlink_2356" tooltip="DMP4025LSSQ Datasheet" display="DMP4025LSSQ Datasheet"/>
    <hyperlink ref="A1180" r:id="rId_hyperlink_2357" tooltip="DMP4026LK3" display="DMP4026LK3"/>
    <hyperlink ref="B1180" r:id="rId_hyperlink_2358" tooltip="DMP4026LK3 Datasheet" display="DMP4026LK3 Datasheet"/>
    <hyperlink ref="A1181" r:id="rId_hyperlink_2359" tooltip="DMP4026LK3Q" display="DMP4026LK3Q"/>
    <hyperlink ref="B1181" r:id="rId_hyperlink_2360" tooltip="DMP4026LK3Q Datasheet" display="DMP4026LK3Q Datasheet"/>
    <hyperlink ref="A1182" r:id="rId_hyperlink_2361" tooltip="DMP4026LSD" display="DMP4026LSD"/>
    <hyperlink ref="B1182" r:id="rId_hyperlink_2362" tooltip="DMP4026LSD Datasheet" display="DMP4026LSD Datasheet"/>
    <hyperlink ref="A1183" r:id="rId_hyperlink_2363" tooltip="DMP4026LSDQ" display="DMP4026LSDQ"/>
    <hyperlink ref="B1183" r:id="rId_hyperlink_2364" tooltip="DMP4026LSDQ Datasheet" display="DMP4026LSDQ Datasheet"/>
    <hyperlink ref="A1184" r:id="rId_hyperlink_2365" tooltip="DMP4026LSS" display="DMP4026LSS"/>
    <hyperlink ref="B1184" r:id="rId_hyperlink_2366" tooltip="DMP4026LSS Datasheet" display="DMP4026LSS Datasheet"/>
    <hyperlink ref="A1185" r:id="rId_hyperlink_2367" tooltip="DMP4026LSSQ" display="DMP4026LSSQ"/>
    <hyperlink ref="B1185" r:id="rId_hyperlink_2368" tooltip="DMP4026LSSQ Datasheet" display="DMP4026LSSQ Datasheet"/>
    <hyperlink ref="A1186" r:id="rId_hyperlink_2369" tooltip="DMP4026SFG" display="DMP4026SFG"/>
    <hyperlink ref="B1186" r:id="rId_hyperlink_2370" tooltip="DMP4026SFG Datasheet" display="DMP4026SFG Datasheet"/>
    <hyperlink ref="A1187" r:id="rId_hyperlink_2371" tooltip="DMP4026SFGQ" display="DMP4026SFGQ"/>
    <hyperlink ref="B1187" r:id="rId_hyperlink_2372" tooltip="DMP4026SFGQ Datasheet" display="DMP4026SFGQ Datasheet"/>
    <hyperlink ref="A1188" r:id="rId_hyperlink_2373" tooltip="DMP4026SFVW" display="DMP4026SFVW"/>
    <hyperlink ref="B1188" r:id="rId_hyperlink_2374" tooltip="DMP4026SFVW Datasheet" display="DMP4026SFVW Datasheet"/>
    <hyperlink ref="A1189" r:id="rId_hyperlink_2375" tooltip="DMP4026SFVWQ" display="DMP4026SFVWQ"/>
    <hyperlink ref="B1189" r:id="rId_hyperlink_2376" tooltip="DMP4026SFVWQ Datasheet" display="DMP4026SFVWQ Datasheet"/>
    <hyperlink ref="A1190" r:id="rId_hyperlink_2377" tooltip="DMP4047LFDE" display="DMP4047LFDE"/>
    <hyperlink ref="B1190" r:id="rId_hyperlink_2378" tooltip="DMP4047LFDE Datasheet" display="DMP4047LFDE Datasheet"/>
    <hyperlink ref="A1191" r:id="rId_hyperlink_2379" tooltip="DMP4047LFDEQ" display="DMP4047LFDEQ"/>
    <hyperlink ref="B1191" r:id="rId_hyperlink_2380" tooltip="DMP4047LFDEQ Datasheet" display="DMP4047LFDEQ Datasheet"/>
    <hyperlink ref="A1192" r:id="rId_hyperlink_2381" tooltip="DMP4047SK3" display="DMP4047SK3"/>
    <hyperlink ref="B1192" r:id="rId_hyperlink_2382" tooltip="DMP4047SK3 Datasheet" display="DMP4047SK3 Datasheet"/>
    <hyperlink ref="A1193" r:id="rId_hyperlink_2383" tooltip="DMP4047SSD" display="DMP4047SSD"/>
    <hyperlink ref="B1193" r:id="rId_hyperlink_2384" tooltip="DMP4047SSD Datasheet" display="DMP4047SSD Datasheet"/>
    <hyperlink ref="A1194" r:id="rId_hyperlink_2385" tooltip="DMP4047SSDQ" display="DMP4047SSDQ"/>
    <hyperlink ref="B1194" r:id="rId_hyperlink_2386" tooltip="DMP4047SSD Datasheet" display="DMP4047SSD Datasheet"/>
    <hyperlink ref="A1195" r:id="rId_hyperlink_2387" tooltip="DMP4050SSD" display="DMP4050SSD"/>
    <hyperlink ref="B1195" r:id="rId_hyperlink_2388" tooltip="DMP4050SSD Datasheet" display="DMP4050SSD Datasheet"/>
    <hyperlink ref="A1196" r:id="rId_hyperlink_2389" tooltip="DMP4050SSDQ" display="DMP4050SSDQ"/>
    <hyperlink ref="B1196" r:id="rId_hyperlink_2390" tooltip="DMP4050SSD Datasheet" display="DMP4050SSD Datasheet"/>
    <hyperlink ref="A1197" r:id="rId_hyperlink_2391" tooltip="DMP4050SSS" display="DMP4050SSS"/>
    <hyperlink ref="B1197" r:id="rId_hyperlink_2392" tooltip="DMP4050SSS Datasheet" display="DMP4050SSS Datasheet"/>
    <hyperlink ref="A1198" r:id="rId_hyperlink_2393" tooltip="DMP4051LK3" display="DMP4051LK3"/>
    <hyperlink ref="B1198" r:id="rId_hyperlink_2394" tooltip="DMP4051LK3 Datasheet" display="DMP4051LK3 Datasheet"/>
    <hyperlink ref="A1199" r:id="rId_hyperlink_2395" tooltip="DMP4065S" display="DMP4065S"/>
    <hyperlink ref="B1199" r:id="rId_hyperlink_2396" tooltip="DMP4065S Datasheet" display="DMP4065S Datasheet"/>
    <hyperlink ref="A1200" r:id="rId_hyperlink_2397" tooltip="DMP4065SK3" display="DMP4065SK3"/>
    <hyperlink ref="B1200" r:id="rId_hyperlink_2398" tooltip="DMP4065SK3 Datasheet" display="DMP4065SK3 Datasheet"/>
    <hyperlink ref="A1201" r:id="rId_hyperlink_2399" tooltip="DMP4065SQ" display="DMP4065SQ"/>
    <hyperlink ref="B1201" r:id="rId_hyperlink_2400" tooltip="DMP4065SQ Datasheet" display="DMP4065SQ Datasheet"/>
    <hyperlink ref="A1202" r:id="rId_hyperlink_2401" tooltip="DMP45H150DHE" display="DMP45H150DHE"/>
    <hyperlink ref="B1202" r:id="rId_hyperlink_2402" tooltip="DMP45H150DHE Datasheet" display="DMP45H150DHE Datasheet"/>
    <hyperlink ref="A1203" r:id="rId_hyperlink_2403" tooltip="DMP45H21DHE" display="DMP45H21DHE"/>
    <hyperlink ref="B1203" r:id="rId_hyperlink_2404" tooltip="DMP45H21DHE Datasheet" display="DMP45H21DHE Datasheet"/>
    <hyperlink ref="A1204" r:id="rId_hyperlink_2405" tooltip="DMP45H4D9HJ3" display="DMP45H4D9HJ3"/>
    <hyperlink ref="B1204" r:id="rId_hyperlink_2406" tooltip="DMP45H4D9HJ3 Datasheet" display="DMP45H4D9HJ3 Datasheet"/>
    <hyperlink ref="A1205" r:id="rId_hyperlink_2407" tooltip="DMP45H4D9HK3" display="DMP45H4D9HK3"/>
    <hyperlink ref="B1205" r:id="rId_hyperlink_2408" tooltip="DMP45H4D9HK3 Datasheet" display="DMP45H4D9HK3 Datasheet"/>
    <hyperlink ref="A1206" r:id="rId_hyperlink_2409" tooltip="DMP510DL" display="DMP510DL"/>
    <hyperlink ref="B1206" r:id="rId_hyperlink_2410" tooltip="DMP510DL Datasheet" display="DMP510DL Datasheet"/>
    <hyperlink ref="A1207" r:id="rId_hyperlink_2411" tooltip="DMP510DLQ" display="DMP510DLQ"/>
    <hyperlink ref="B1207" r:id="rId_hyperlink_2412" tooltip="DMP510DLQ Datasheet" display="DMP510DLQ Datasheet"/>
    <hyperlink ref="A1208" r:id="rId_hyperlink_2413" tooltip="DMP510DLW" display="DMP510DLW"/>
    <hyperlink ref="B1208" r:id="rId_hyperlink_2414" tooltip="DMP510DLW Datasheet" display="DMP510DLW Datasheet"/>
    <hyperlink ref="A1209" r:id="rId_hyperlink_2415" tooltip="DMP56D0UFB" display="DMP56D0UFB"/>
    <hyperlink ref="B1209" r:id="rId_hyperlink_2416" tooltip="DMP56D0UFB Datasheet" display="DMP56D0UFB Datasheet"/>
    <hyperlink ref="A1210" r:id="rId_hyperlink_2417" tooltip="DMP56D0UV" display="DMP56D0UV"/>
    <hyperlink ref="B1210" r:id="rId_hyperlink_2418" tooltip="DMP56D0UV Datasheet" display="DMP56D0UV Datasheet"/>
    <hyperlink ref="A1211" r:id="rId_hyperlink_2419" tooltip="DMP58D1LV" display="DMP58D1LV"/>
    <hyperlink ref="B1211" r:id="rId_hyperlink_2420" tooltip="DMP58D1LV Datasheet" display="DMP58D1LV Datasheet"/>
    <hyperlink ref="A1212" r:id="rId_hyperlink_2421" tooltip="DMP58D1LVQ" display="DMP58D1LVQ"/>
    <hyperlink ref="B1212" r:id="rId_hyperlink_2422" tooltip="DMP58D1LVQ Datasheet" display="DMP58D1LVQ Datasheet"/>
    <hyperlink ref="A1213" r:id="rId_hyperlink_2423" tooltip="DMP6018LPS" display="DMP6018LPS"/>
    <hyperlink ref="B1213" r:id="rId_hyperlink_2424" tooltip="DMP6018LPS Datasheet" display="DMP6018LPS Datasheet"/>
    <hyperlink ref="A1214" r:id="rId_hyperlink_2425" tooltip="DMP6018LPSQ" display="DMP6018LPSQ"/>
    <hyperlink ref="B1214" r:id="rId_hyperlink_2426" tooltip="DMP6018LPSQ Datasheet" display="DMP6018LPSQ Datasheet"/>
    <hyperlink ref="A1215" r:id="rId_hyperlink_2427" tooltip="DMP6023LE" display="DMP6023LE"/>
    <hyperlink ref="B1215" r:id="rId_hyperlink_2428" tooltip="DMP6023LE Datasheet" display="DMP6023LE Datasheet"/>
    <hyperlink ref="A1216" r:id="rId_hyperlink_2429" tooltip="DMP6023LEQ" display="DMP6023LEQ"/>
    <hyperlink ref="B1216" r:id="rId_hyperlink_2430" tooltip="DMP6023LEQ Datasheet" display="DMP6023LEQ Datasheet"/>
    <hyperlink ref="A1217" r:id="rId_hyperlink_2431" tooltip="DMP6023LFG" display="DMP6023LFG"/>
    <hyperlink ref="B1217" r:id="rId_hyperlink_2432" tooltip="DMP6023LFG Datasheet" display="DMP6023LFG Datasheet"/>
    <hyperlink ref="A1218" r:id="rId_hyperlink_2433" tooltip="DMP6023LFGQ" display="DMP6023LFGQ"/>
    <hyperlink ref="B1218" r:id="rId_hyperlink_2434" tooltip="DMP6023LFGQ Datasheet" display="DMP6023LFGQ Datasheet"/>
    <hyperlink ref="A1219" r:id="rId_hyperlink_2435" tooltip="DMP6023LSS" display="DMP6023LSS"/>
    <hyperlink ref="B1219" r:id="rId_hyperlink_2436" tooltip="DMP6023LSS Datasheet" display="DMP6023LSS Datasheet"/>
    <hyperlink ref="A1220" r:id="rId_hyperlink_2437" tooltip="DMP6050SFG" display="DMP6050SFG"/>
    <hyperlink ref="B1220" r:id="rId_hyperlink_2438" tooltip="DMP6050SFG Datasheet" display="DMP6050SFG Datasheet"/>
    <hyperlink ref="A1221" r:id="rId_hyperlink_2439" tooltip="DMP6050SPS" display="DMP6050SPS"/>
    <hyperlink ref="B1221" r:id="rId_hyperlink_2440" tooltip="DMP6050SPS Datasheet" display="DMP6050SPS Datasheet"/>
    <hyperlink ref="A1222" r:id="rId_hyperlink_2441" tooltip="DMP6050SSD" display="DMP6050SSD"/>
    <hyperlink ref="B1222" r:id="rId_hyperlink_2442" tooltip="DMP6050SSD Datasheet" display="DMP6050SSD Datasheet"/>
    <hyperlink ref="A1223" r:id="rId_hyperlink_2443" tooltip="DMP610DL" display="DMP610DL"/>
    <hyperlink ref="B1223" r:id="rId_hyperlink_2444" tooltip="DMP610DL Datasheet" display="DMP610DL Datasheet"/>
    <hyperlink ref="A1224" r:id="rId_hyperlink_2445" tooltip="DMP610DLQ" display="DMP610DLQ"/>
    <hyperlink ref="B1224" r:id="rId_hyperlink_2446" tooltip="DMP610DLQ Datasheet" display="DMP610DLQ Datasheet"/>
    <hyperlink ref="A1225" r:id="rId_hyperlink_2447" tooltip="DMP6110SFDF" display="DMP6110SFDF"/>
    <hyperlink ref="B1225" r:id="rId_hyperlink_2448" tooltip="DMP6110SFDF Datasheet" display="DMP6110SFDF Datasheet"/>
    <hyperlink ref="A1226" r:id="rId_hyperlink_2449" tooltip="DMP6110SFDFQ" display="DMP6110SFDFQ"/>
    <hyperlink ref="B1226" r:id="rId_hyperlink_2450" tooltip="DMP6110SFDFQ Datasheet" display="DMP6110SFDFQ Datasheet"/>
    <hyperlink ref="A1227" r:id="rId_hyperlink_2451" tooltip="DMP6110SSD" display="DMP6110SSD"/>
    <hyperlink ref="B1227" r:id="rId_hyperlink_2452" tooltip="DMP6110SSD Datasheet" display="DMP6110SSD Datasheet"/>
    <hyperlink ref="A1228" r:id="rId_hyperlink_2453" tooltip="DMP6110SSDQ" display="DMP6110SSDQ"/>
    <hyperlink ref="B1228" r:id="rId_hyperlink_2454" tooltip="DMP6110SSDQ Datasheet" display="DMP6110SSDQ Datasheet"/>
    <hyperlink ref="A1229" r:id="rId_hyperlink_2455" tooltip="DMP6110SSS" display="DMP6110SSS"/>
    <hyperlink ref="B1229" r:id="rId_hyperlink_2456" tooltip="DMP6110SSS Datasheet" display="DMP6110SSS Datasheet"/>
    <hyperlink ref="A1230" r:id="rId_hyperlink_2457" tooltip="DMP6110SSSQ" display="DMP6110SSSQ"/>
    <hyperlink ref="B1230" r:id="rId_hyperlink_2458" tooltip="DMP6110SSSQ Datasheet" display="DMP6110SSSQ Datasheet"/>
    <hyperlink ref="A1231" r:id="rId_hyperlink_2459" tooltip="DMP6110SVT" display="DMP6110SVT"/>
    <hyperlink ref="B1231" r:id="rId_hyperlink_2460" tooltip="DMP6110SVT Datasheet" display="DMP6110SVT Datasheet"/>
    <hyperlink ref="A1232" r:id="rId_hyperlink_2461" tooltip="DMP6110SVTQ" display="DMP6110SVTQ"/>
    <hyperlink ref="B1232" r:id="rId_hyperlink_2462" tooltip="DMP6110SVTQ Datasheet" display="DMP6110SVTQ Datasheet"/>
    <hyperlink ref="A1233" r:id="rId_hyperlink_2463" tooltip="DMP6111SVT" display="DMP6111SVT"/>
    <hyperlink ref="B1233" r:id="rId_hyperlink_2464" tooltip="DMP6111SVT Datasheet" display="DMP6111SVT Datasheet"/>
    <hyperlink ref="A1234" r:id="rId_hyperlink_2465" tooltip="DMP6111SVTQ" display="DMP6111SVTQ"/>
    <hyperlink ref="B1234" r:id="rId_hyperlink_2466" tooltip="DMP6111SVTQ Datasheet" display="DMP6111SVTQ Datasheet"/>
    <hyperlink ref="A1235" r:id="rId_hyperlink_2467" tooltip="DMP6180SK3" display="DMP6180SK3"/>
    <hyperlink ref="B1235" r:id="rId_hyperlink_2468" tooltip="DMP6180SK3 Datasheet" display="DMP6180SK3 Datasheet"/>
    <hyperlink ref="A1236" r:id="rId_hyperlink_2469" tooltip="DMP6180SK3Q" display="DMP6180SK3Q"/>
    <hyperlink ref="B1236" r:id="rId_hyperlink_2470" tooltip="DMP6180SK3Q Datasheet" display="DMP6180SK3Q Datasheet"/>
    <hyperlink ref="A1237" r:id="rId_hyperlink_2471" tooltip="DMP6185SE" display="DMP6185SE"/>
    <hyperlink ref="B1237" r:id="rId_hyperlink_2472" tooltip="DMP6185SE Datasheet" display="DMP6185SE Datasheet"/>
    <hyperlink ref="A1238" r:id="rId_hyperlink_2473" tooltip="DMP6185SEQ" display="DMP6185SEQ"/>
    <hyperlink ref="B1238" r:id="rId_hyperlink_2474" tooltip="DMP6185SEQ Datasheet" display="DMP6185SEQ Datasheet"/>
    <hyperlink ref="A1239" r:id="rId_hyperlink_2475" tooltip="DMP6185SK3" display="DMP6185SK3"/>
    <hyperlink ref="B1239" r:id="rId_hyperlink_2476" tooltip="DMP6185SK3 Datasheet" display="DMP6185SK3 Datasheet"/>
    <hyperlink ref="A1240" r:id="rId_hyperlink_2477" tooltip="DMP6250SE" display="DMP6250SE"/>
    <hyperlink ref="B1240" r:id="rId_hyperlink_2478" tooltip="DMP6250SE Datasheet" display="DMP6250SE Datasheet"/>
    <hyperlink ref="A1241" r:id="rId_hyperlink_2479" tooltip="DMP6250SEQ" display="DMP6250SEQ"/>
    <hyperlink ref="B1241" r:id="rId_hyperlink_2480" tooltip="DMP6250SEQ Datasheet" display="DMP6250SEQ Datasheet"/>
    <hyperlink ref="A1242" r:id="rId_hyperlink_2481" tooltip="DMP6250SFDF" display="DMP6250SFDF"/>
    <hyperlink ref="B1242" r:id="rId_hyperlink_2482" tooltip="DMP6250SFDF Datasheet" display="DMP6250SFDF Datasheet"/>
    <hyperlink ref="A1243" r:id="rId_hyperlink_2483" tooltip="DMP6350S" display="DMP6350S"/>
    <hyperlink ref="B1243" r:id="rId_hyperlink_2484" tooltip="DMP6350S Datasheet" display="DMP6350S Datasheet"/>
    <hyperlink ref="A1244" r:id="rId_hyperlink_2485" tooltip="DMP6350SQ" display="DMP6350SQ"/>
    <hyperlink ref="B1244" r:id="rId_hyperlink_2486" tooltip="DMP6350SQ Datasheet" display="DMP6350SQ Datasheet"/>
    <hyperlink ref="A1245" r:id="rId_hyperlink_2487" tooltip="DMP65H11D0HSS" display="DMP65H11D0HSS"/>
    <hyperlink ref="B1245" r:id="rId_hyperlink_2488" tooltip="DMP65H11D0HSS Datasheet" display="DMP65H11D0HSS Datasheet"/>
    <hyperlink ref="A1246" r:id="rId_hyperlink_2489" tooltip="DMP65H13D0HSS" display="DMP65H13D0HSS"/>
    <hyperlink ref="B1246" r:id="rId_hyperlink_2490" tooltip="DMP65H13D0HSS Datasheet" display="DMP65H13D0HSS Datasheet"/>
    <hyperlink ref="A1247" r:id="rId_hyperlink_2491" tooltip="DMP65H20D0HSS" display="DMP65H20D0HSS"/>
    <hyperlink ref="B1247" r:id="rId_hyperlink_2492" tooltip="DMP65H20D0HSS Datasheet" display="DMP65H20D0HSS Datasheet"/>
    <hyperlink ref="A1248" r:id="rId_hyperlink_2493" tooltip="DMP65H9D0HSS" display="DMP65H9D0HSS"/>
    <hyperlink ref="B1248" r:id="rId_hyperlink_2494" tooltip="DMP65H9D0HSS Datasheet" display="DMP65H9D0HSS Datasheet"/>
    <hyperlink ref="A1249" r:id="rId_hyperlink_2495" tooltip="DMP68D0LFB" display="DMP68D0LFB"/>
    <hyperlink ref="B1249" r:id="rId_hyperlink_2496" tooltip="DMP68D0LFB Datasheet" display="DMP68D0LFB Datasheet"/>
    <hyperlink ref="A1250" r:id="rId_hyperlink_2497" tooltip="DMP68D1L" display="DMP68D1L"/>
    <hyperlink ref="B1250" r:id="rId_hyperlink_2498" tooltip="DMP68D1L Datasheet" display="DMP68D1L Datasheet"/>
    <hyperlink ref="A1251" r:id="rId_hyperlink_2499" tooltip="DMP68D1LFB" display="DMP68D1LFB"/>
    <hyperlink ref="B1251" r:id="rId_hyperlink_2500" tooltip="DMP68D1LFB Datasheet" display="DMP68D1LFB Datasheet"/>
    <hyperlink ref="A1252" r:id="rId_hyperlink_2501" tooltip="DMP68D1LQ" display="DMP68D1LQ"/>
    <hyperlink ref="B1252" r:id="rId_hyperlink_2502" tooltip="DMP68D1LQ Datasheet" display="DMP68D1LQ Datasheet"/>
    <hyperlink ref="A1253" r:id="rId_hyperlink_2503" tooltip="DMP68D1LV" display="DMP68D1LV"/>
    <hyperlink ref="B1253" r:id="rId_hyperlink_2504" tooltip="DMP68D1LV Datasheet" display="DMP68D1LV Datasheet"/>
    <hyperlink ref="A1254" r:id="rId_hyperlink_2505" tooltip="DMP68D1LVQ" display="DMP68D1LVQ"/>
    <hyperlink ref="B1254" r:id="rId_hyperlink_2506" tooltip="DMP68D1LVQ Datasheet" display="DMP68D1LVQ Datasheet"/>
    <hyperlink ref="A1255" r:id="rId_hyperlink_2507" tooltip="DMPH1006UPS" display="DMPH1006UPS"/>
    <hyperlink ref="B1255" r:id="rId_hyperlink_2508" tooltip="DMPH1006UPS Datasheet" display="DMPH1006UPS Datasheet"/>
    <hyperlink ref="A1256" r:id="rId_hyperlink_2509" tooltip="DMPH1006UPSQ" display="DMPH1006UPSQ"/>
    <hyperlink ref="B1256" r:id="rId_hyperlink_2510" tooltip="DMPH1006UPSQ Datasheet" display="DMPH1006UPSQ Datasheet"/>
    <hyperlink ref="A1257" r:id="rId_hyperlink_2511" tooltip="DMPH16M1UPSW" display="DMPH16M1UPSW"/>
    <hyperlink ref="B1257" r:id="rId_hyperlink_2512" tooltip="DMPH16M1UPSW Datasheet" display="DMPH16M1UPSW Datasheet"/>
    <hyperlink ref="A1258" r:id="rId_hyperlink_2513" tooltip="DMPH2040UVTQ" display="DMPH2040UVTQ"/>
    <hyperlink ref="B1258" r:id="rId_hyperlink_2514" tooltip="DMPH2040UVTQ Datasheet" display="DMPH2040UVTQ Datasheet"/>
    <hyperlink ref="A1259" r:id="rId_hyperlink_2515" tooltip="DMPH3010LK3" display="DMPH3010LK3"/>
    <hyperlink ref="B1259" r:id="rId_hyperlink_2516" tooltip="DMPH3010LK3 Datasheet" display="DMPH3010LK3 Datasheet"/>
    <hyperlink ref="A1260" r:id="rId_hyperlink_2517" tooltip="DMPH3010LK3Q" display="DMPH3010LK3Q"/>
    <hyperlink ref="B1260" r:id="rId_hyperlink_2518" tooltip="DMPH3010LK3Q Datasheet" display="DMPH3010LK3Q Datasheet"/>
    <hyperlink ref="A1261" r:id="rId_hyperlink_2519" tooltip="DMPH3010LPS" display="DMPH3010LPS"/>
    <hyperlink ref="B1261" r:id="rId_hyperlink_2520" tooltip="DMPH3010LPS Datasheet" display="DMPH3010LPS Datasheet"/>
    <hyperlink ref="A1262" r:id="rId_hyperlink_2521" tooltip="DMPH3010LPSQ" display="DMPH3010LPSQ"/>
    <hyperlink ref="B1262" r:id="rId_hyperlink_2522" tooltip="DMPH3010LPSQ Datasheet" display="DMPH3010LPSQ Datasheet"/>
    <hyperlink ref="A1263" r:id="rId_hyperlink_2523" tooltip="DMPH33M8SPSW" display="DMPH33M8SPSW"/>
    <hyperlink ref="B1263" r:id="rId_hyperlink_2524" tooltip="DMPH33M8SPSW Datasheet" display="DMPH33M8SPSW Datasheet"/>
    <hyperlink ref="A1264" r:id="rId_hyperlink_2525" tooltip="DMPH33M8SPSWQ" display="DMPH33M8SPSWQ"/>
    <hyperlink ref="B1264" r:id="rId_hyperlink_2526" tooltip="DMPH33M8SPSWQ Datasheet" display="DMPH33M8SPSWQ Datasheet"/>
    <hyperlink ref="A1265" r:id="rId_hyperlink_2527" tooltip="DMPH4009SPSW" display="DMPH4009SPSW"/>
    <hyperlink ref="B1265" r:id="rId_hyperlink_2528" tooltip="DMPH4009SPSW Datasheet" display="DMPH4009SPSW Datasheet"/>
    <hyperlink ref="A1266" r:id="rId_hyperlink_2529" tooltip="DMPH4009SPSWQ" display="DMPH4009SPSWQ"/>
    <hyperlink ref="B1266" r:id="rId_hyperlink_2530" tooltip="DMPH4009SPSWQ Datasheet" display="DMPH4009SPSWQ Datasheet"/>
    <hyperlink ref="A1267" r:id="rId_hyperlink_2531" tooltip="DMPH4009SSS" display="DMPH4009SSS"/>
    <hyperlink ref="B1267" r:id="rId_hyperlink_2532" tooltip="DMPH4009SSS Datasheet" display="DMPH4009SSS Datasheet"/>
    <hyperlink ref="A1268" r:id="rId_hyperlink_2533" tooltip="DMPH4009SSSQ" display="DMPH4009SSSQ"/>
    <hyperlink ref="B1268" r:id="rId_hyperlink_2534" tooltip="DMPH4009SSSQ Datasheet" display="DMPH4009SSSQ Datasheet"/>
    <hyperlink ref="A1269" r:id="rId_hyperlink_2535" tooltip="DMPH4011SK3" display="DMPH4011SK3"/>
    <hyperlink ref="B1269" r:id="rId_hyperlink_2536" tooltip="DMPH4011SK3 Datasheet" display="DMPH4011SK3 Datasheet"/>
    <hyperlink ref="A1270" r:id="rId_hyperlink_2537" tooltip="DMPH4011SK3Q" display="DMPH4011SK3Q"/>
    <hyperlink ref="B1270" r:id="rId_hyperlink_2538" tooltip="DMPH4011SK3Q Datasheet" display="DMPH4011SK3Q Datasheet"/>
    <hyperlink ref="A1271" r:id="rId_hyperlink_2539" tooltip="DMPH4013SK3" display="DMPH4013SK3"/>
    <hyperlink ref="B1271" r:id="rId_hyperlink_2540" tooltip="DMPH4013SK3 Datasheet" display="DMPH4013SK3 Datasheet"/>
    <hyperlink ref="A1272" r:id="rId_hyperlink_2541" tooltip="DMPH4013SK3Q" display="DMPH4013SK3Q"/>
    <hyperlink ref="B1272" r:id="rId_hyperlink_2542" tooltip="DMPH4013SK3Q Datasheet" display="DMPH4013SK3Q Datasheet"/>
    <hyperlink ref="A1273" r:id="rId_hyperlink_2543" tooltip="DMPH4013SPSQ" display="DMPH4013SPSQ"/>
    <hyperlink ref="B1273" r:id="rId_hyperlink_2544" tooltip="DMPH4013SPSQ Datasheet" display="DMPH4013SPSQ Datasheet"/>
    <hyperlink ref="A1274" r:id="rId_hyperlink_2545" tooltip="DMPH4013SPSWQ" display="DMPH4013SPSWQ"/>
    <hyperlink ref="B1274" r:id="rId_hyperlink_2546" tooltip="DMPH4013SPSWQ Datasheet" display="DMPH4013SPSWQ Datasheet"/>
    <hyperlink ref="A1275" r:id="rId_hyperlink_2547" tooltip="DMPH4015SK3Q" display="DMPH4015SK3Q"/>
    <hyperlink ref="B1275" r:id="rId_hyperlink_2548" tooltip="DMPH4015SK3Q Datasheet" display="DMPH4015SK3Q Datasheet"/>
    <hyperlink ref="A1276" r:id="rId_hyperlink_2549" tooltip="DMPH4015SPSQ" display="DMPH4015SPSQ"/>
    <hyperlink ref="B1276" r:id="rId_hyperlink_2550" tooltip="DMPH4015SPSQ Datasheet" display="DMPH4015SPSQ Datasheet"/>
    <hyperlink ref="A1277" r:id="rId_hyperlink_2551" tooltip="DMPH4015SSSQ" display="DMPH4015SSSQ"/>
    <hyperlink ref="B1277" r:id="rId_hyperlink_2552" tooltip="DMPH4015SSSQ Datasheet" display="DMPH4015SSSQ Datasheet"/>
    <hyperlink ref="A1278" r:id="rId_hyperlink_2553" tooltip="DMPH4016SK3" display="DMPH4016SK3"/>
    <hyperlink ref="B1278" r:id="rId_hyperlink_2554" tooltip="DMPH4016SK3 Datasheet" display="DMPH4016SK3 Datasheet"/>
    <hyperlink ref="A1279" r:id="rId_hyperlink_2555" tooltip="DMPH4016SK3Q" display="DMPH4016SK3Q"/>
    <hyperlink ref="B1279" r:id="rId_hyperlink_2556" tooltip="DMPH4016SK3Q Datasheet" display="DMPH4016SK3Q Datasheet"/>
    <hyperlink ref="A1280" r:id="rId_hyperlink_2557" tooltip="DMPH4016SPSW" display="DMPH4016SPSW"/>
    <hyperlink ref="B1280" r:id="rId_hyperlink_2558" tooltip="DMPH4016SPSW Datasheet" display="DMPH4016SPSW Datasheet"/>
    <hyperlink ref="A1281" r:id="rId_hyperlink_2559" tooltip="DMPH4016SPSWQ" display="DMPH4016SPSWQ"/>
    <hyperlink ref="B1281" r:id="rId_hyperlink_2560" tooltip="DMPH4016SPSWQ Datasheet" display="DMPH4016SPSWQ Datasheet"/>
    <hyperlink ref="A1282" r:id="rId_hyperlink_2561" tooltip="DMPH4016SSS" display="DMPH4016SSS"/>
    <hyperlink ref="B1282" r:id="rId_hyperlink_2562" tooltip="DMPH4016SSS Datasheet" display="DMPH4016SSS Datasheet"/>
    <hyperlink ref="A1283" r:id="rId_hyperlink_2563" tooltip="DMPH4016SSSQ" display="DMPH4016SSSQ"/>
    <hyperlink ref="B1283" r:id="rId_hyperlink_2564" tooltip="DMPH4016SSSQ Datasheet" display="DMPH4016SSSQ Datasheet"/>
    <hyperlink ref="A1284" r:id="rId_hyperlink_2565" tooltip="DMPH4023SK3" display="DMPH4023SK3"/>
    <hyperlink ref="B1284" r:id="rId_hyperlink_2566" tooltip="DMPH4023SK3 Datasheet" display="DMPH4023SK3 Datasheet"/>
    <hyperlink ref="A1285" r:id="rId_hyperlink_2567" tooltip="DMPH4023SK3Q" display="DMPH4023SK3Q"/>
    <hyperlink ref="B1285" r:id="rId_hyperlink_2568" tooltip="DMPH4023SK3Q Datasheet" display="DMPH4023SK3Q Datasheet"/>
    <hyperlink ref="A1286" r:id="rId_hyperlink_2569" tooltip="DMPH4023SPDWQ" display="DMPH4023SPDWQ"/>
    <hyperlink ref="B1286" r:id="rId_hyperlink_2570" tooltip="DMPH4023SPDWQ Datasheet" display="DMPH4023SPDWQ Datasheet"/>
    <hyperlink ref="A1287" r:id="rId_hyperlink_2571" tooltip="DMPH4025SFVWQ" display="DMPH4025SFVWQ"/>
    <hyperlink ref="B1287" r:id="rId_hyperlink_2572" tooltip="DMPH4025SFVWQ Datasheet" display="DMPH4025SFVWQ Datasheet"/>
    <hyperlink ref="A1288" r:id="rId_hyperlink_2573" tooltip="DMPH4026SFVW" display="DMPH4026SFVW"/>
    <hyperlink ref="B1288" r:id="rId_hyperlink_2574" tooltip="DMPH4026SFVW Datasheet" display="DMPH4026SFVW Datasheet"/>
    <hyperlink ref="A1289" r:id="rId_hyperlink_2575" tooltip="DMPH4026SFVWQ" display="DMPH4026SFVWQ"/>
    <hyperlink ref="B1289" r:id="rId_hyperlink_2576" tooltip="DMPH4026SFVWQ Datasheet" display="DMPH4026SFVWQ Datasheet"/>
    <hyperlink ref="A1290" r:id="rId_hyperlink_2577" tooltip="DMPH4029LFG" display="DMPH4029LFG"/>
    <hyperlink ref="B1290" r:id="rId_hyperlink_2578" tooltip="DMPH4029LFG Datasheet" display="DMPH4029LFG Datasheet"/>
    <hyperlink ref="A1291" r:id="rId_hyperlink_2579" tooltip="DMPH4029LFGQ" display="DMPH4029LFGQ"/>
    <hyperlink ref="B1291" r:id="rId_hyperlink_2580" tooltip="DMPH4029LFGQ Datasheet" display="DMPH4029LFGQ Datasheet"/>
    <hyperlink ref="A1292" r:id="rId_hyperlink_2581" tooltip="DMPH6023SK3" display="DMPH6023SK3"/>
    <hyperlink ref="B1292" r:id="rId_hyperlink_2582" tooltip="DMPH6023SK3 Datasheet" display="DMPH6023SK3 Datasheet"/>
    <hyperlink ref="A1293" r:id="rId_hyperlink_2583" tooltip="DMPH6023SK3Q" display="DMPH6023SK3Q"/>
    <hyperlink ref="B1293" r:id="rId_hyperlink_2584" tooltip="DMPH6023SK3Q Datasheet" display="DMPH6023SK3Q Datasheet"/>
    <hyperlink ref="A1294" r:id="rId_hyperlink_2585" tooltip="DMPH6050SFGQ" display="DMPH6050SFGQ"/>
    <hyperlink ref="B1294" r:id="rId_hyperlink_2586" tooltip="DMPH6050SFGQ Datasheet" display="DMPH6050SFGQ Datasheet"/>
    <hyperlink ref="A1295" r:id="rId_hyperlink_2587" tooltip="DMPH6050SK3" display="DMPH6050SK3"/>
    <hyperlink ref="B1295" r:id="rId_hyperlink_2588" tooltip="DMPH6050SK3 Datasheet" display="DMPH6050SK3 Datasheet"/>
    <hyperlink ref="A1296" r:id="rId_hyperlink_2589" tooltip="DMPH6050SK3Q" display="DMPH6050SK3Q"/>
    <hyperlink ref="B1296" r:id="rId_hyperlink_2590" tooltip="DMPH6050SK3Q Datasheet" display="DMPH6050SK3Q Datasheet"/>
    <hyperlink ref="A1297" r:id="rId_hyperlink_2591" tooltip="DMPH6050SPD" display="DMPH6050SPD"/>
    <hyperlink ref="B1297" r:id="rId_hyperlink_2592" tooltip="DMPH6050SPD Datasheet" display="DMPH6050SPD Datasheet"/>
    <hyperlink ref="A1298" r:id="rId_hyperlink_2593" tooltip="DMPH6050SPDQ" display="DMPH6050SPDQ"/>
    <hyperlink ref="B1298" r:id="rId_hyperlink_2594" tooltip="DMPH6050SPDQ Datasheet" display="DMPH6050SPDQ Datasheet"/>
    <hyperlink ref="A1299" r:id="rId_hyperlink_2595" tooltip="DMPH6050SPDWQ" display="DMPH6050SPDWQ"/>
    <hyperlink ref="B1299" r:id="rId_hyperlink_2596" tooltip="DMPH6050SPDWQ Datasheet" display="DMPH6050SPDWQ Datasheet"/>
    <hyperlink ref="A1300" r:id="rId_hyperlink_2597" tooltip="DMPH6050SSD" display="DMPH6050SSD"/>
    <hyperlink ref="B1300" r:id="rId_hyperlink_2598" tooltip="DMPH6050SSD Datasheet" display="DMPH6050SSD Datasheet"/>
    <hyperlink ref="A1301" r:id="rId_hyperlink_2599" tooltip="DMPH6050SSDQ" display="DMPH6050SSDQ"/>
    <hyperlink ref="B1301" r:id="rId_hyperlink_2600" tooltip="DMPH6050SSDQ Datasheet" display="DMPH6050SSDQ Datasheet"/>
    <hyperlink ref="A1302" r:id="rId_hyperlink_2601" tooltip="DMPH6250S" display="DMPH6250S"/>
    <hyperlink ref="B1302" r:id="rId_hyperlink_2602" tooltip="DMPH6250S Datasheet" display="DMPH6250S Datasheet"/>
    <hyperlink ref="A1303" r:id="rId_hyperlink_2603" tooltip="DMPH6250SQ" display="DMPH6250SQ"/>
    <hyperlink ref="B1303" r:id="rId_hyperlink_2604" tooltip="DMPH6250SQ Datasheet" display="DMPH6250SQ Datasheet"/>
    <hyperlink ref="A1304" r:id="rId_hyperlink_2605" tooltip="DMS2085LSD" display="DMS2085LSD"/>
    <hyperlink ref="B1304" r:id="rId_hyperlink_2606" tooltip="DMS2085LSD Datasheet" display="DMS2085LSD Datasheet"/>
    <hyperlink ref="A1305" r:id="rId_hyperlink_2607" tooltip="DMS2095LFDB" display="DMS2095LFDB"/>
    <hyperlink ref="B1305" r:id="rId_hyperlink_2608" tooltip="DMS2095LFDB Datasheet" display="DMS2095LFDB Datasheet"/>
    <hyperlink ref="A1306" r:id="rId_hyperlink_2609" tooltip="DMS2120LFWB" display="DMS2120LFWB"/>
    <hyperlink ref="B1306" r:id="rId_hyperlink_2610" tooltip="DMS2120LFWB Datasheet" display="DMS2120LFWB Datasheet"/>
    <hyperlink ref="A1307" r:id="rId_hyperlink_2611" tooltip="DMS2220LFDB" display="DMS2220LFDB"/>
    <hyperlink ref="B1307" r:id="rId_hyperlink_2612" tooltip="DMS2220LFDB Datasheet" display="DMS2220LFDB Datasheet"/>
    <hyperlink ref="A1308" r:id="rId_hyperlink_2613" tooltip="DMS3014SFGQ" display="DMS3014SFGQ"/>
    <hyperlink ref="B1308" r:id="rId_hyperlink_2614" tooltip="DMS3014SFGQ Datasheet" display="DMS3014SFGQ Datasheet"/>
    <hyperlink ref="A1309" r:id="rId_hyperlink_2615" tooltip="DMT10H003SPSW" display="DMT10H003SPSW"/>
    <hyperlink ref="B1309" r:id="rId_hyperlink_2616" tooltip="DMT10H003SPSW Datasheet" display="DMT10H003SPSW Datasheet"/>
    <hyperlink ref="A1310" r:id="rId_hyperlink_2617" tooltip="DMT10H009LCG" display="DMT10H009LCG"/>
    <hyperlink ref="B1310" r:id="rId_hyperlink_2618" tooltip="DMT10H009LCG Datasheet" display="DMT10H009LCG Datasheet"/>
    <hyperlink ref="A1311" r:id="rId_hyperlink_2619" tooltip="DMT10H009LFG" display="DMT10H009LFG"/>
    <hyperlink ref="B1311" r:id="rId_hyperlink_2620" tooltip="DMT10H009LFG Datasheet" display="DMT10H009LFG Datasheet"/>
    <hyperlink ref="A1312" r:id="rId_hyperlink_2621" tooltip="DMT10H009LH3" display="DMT10H009LH3"/>
    <hyperlink ref="B1312" r:id="rId_hyperlink_2622" tooltip="DMT10H009LH3 Datasheet" display="DMT10H009LH3 Datasheet"/>
    <hyperlink ref="A1313" r:id="rId_hyperlink_2623" tooltip="DMT10H009LK3" display="DMT10H009LK3"/>
    <hyperlink ref="B1313" r:id="rId_hyperlink_2624" tooltip="DMT10H009LK3 Datasheet" display="DMT10H009LK3 Datasheet"/>
    <hyperlink ref="A1314" r:id="rId_hyperlink_2625" tooltip="DMT10H009LPS" display="DMT10H009LPS"/>
    <hyperlink ref="B1314" r:id="rId_hyperlink_2626" tooltip="DMT10H009LPS Datasheet" display="DMT10H009LPS Datasheet"/>
    <hyperlink ref="A1315" r:id="rId_hyperlink_2627" tooltip="DMT10H009LSS" display="DMT10H009LSS"/>
    <hyperlink ref="B1315" r:id="rId_hyperlink_2628" tooltip="DMT10H009LSS Datasheet" display="DMT10H009LSS Datasheet"/>
    <hyperlink ref="A1316" r:id="rId_hyperlink_2629" tooltip="DMT10H009LSSQ" display="DMT10H009LSSQ"/>
    <hyperlink ref="B1316" r:id="rId_hyperlink_2630" tooltip="DMT10H009LSSQ Datasheet" display="DMT10H009LSSQ Datasheet"/>
    <hyperlink ref="A1317" r:id="rId_hyperlink_2631" tooltip="DMT10H009SCG" display="DMT10H009SCG"/>
    <hyperlink ref="B1317" r:id="rId_hyperlink_2632" tooltip="DMT10H009SCG Datasheet" display="DMT10H009SCG Datasheet"/>
    <hyperlink ref="A1318" r:id="rId_hyperlink_2633" tooltip="DMT10H009SK3" display="DMT10H009SK3"/>
    <hyperlink ref="B1318" r:id="rId_hyperlink_2634" tooltip="DMT10H009SK3 Datasheet" display="DMT10H009SK3 Datasheet"/>
    <hyperlink ref="A1319" r:id="rId_hyperlink_2635" tooltip="DMT10H009SPS" display="DMT10H009SPS"/>
    <hyperlink ref="B1319" r:id="rId_hyperlink_2636" tooltip="DMT10H009SPS Datasheet" display="DMT10H009SPS Datasheet"/>
    <hyperlink ref="A1320" r:id="rId_hyperlink_2637" tooltip="DMT10H009SSS" display="DMT10H009SSS"/>
    <hyperlink ref="B1320" r:id="rId_hyperlink_2638" tooltip="DMT10H009SSS Datasheet" display="DMT10H009SSS Datasheet"/>
    <hyperlink ref="A1321" r:id="rId_hyperlink_2639" tooltip="DMT10H010LCT" display="DMT10H010LCT"/>
    <hyperlink ref="B1321" r:id="rId_hyperlink_2640" tooltip="DMT10H010LCT Datasheet" display="DMT10H010LCT Datasheet"/>
    <hyperlink ref="A1322" r:id="rId_hyperlink_2641" tooltip="DMT10H010LK3" display="DMT10H010LK3"/>
    <hyperlink ref="B1322" r:id="rId_hyperlink_2642" tooltip="DMT10H010LK3 Datasheet" display="DMT10H010LK3 Datasheet"/>
    <hyperlink ref="A1323" r:id="rId_hyperlink_2643" tooltip="DMT10H010LPS" display="DMT10H010LPS"/>
    <hyperlink ref="B1323" r:id="rId_hyperlink_2644" tooltip="DMT10H010LPS Datasheet" display="DMT10H010LPS Datasheet"/>
    <hyperlink ref="A1324" r:id="rId_hyperlink_2645" tooltip="DMT10H010LSS" display="DMT10H010LSS"/>
    <hyperlink ref="B1324" r:id="rId_hyperlink_2646" tooltip="DMT10H010LSS Datasheet" display="DMT10H010LSS Datasheet"/>
    <hyperlink ref="A1325" r:id="rId_hyperlink_2647" tooltip="DMT10H010LSSQ" display="DMT10H010LSSQ"/>
    <hyperlink ref="B1325" r:id="rId_hyperlink_2648" tooltip="DMT10H010LSSQ Datasheet" display="DMT10H010LSSQ Datasheet"/>
    <hyperlink ref="A1326" r:id="rId_hyperlink_2649" tooltip="DMT10H010SPS" display="DMT10H010SPS"/>
    <hyperlink ref="B1326" r:id="rId_hyperlink_2650" tooltip="DMT10H010SPS Datasheet" display="DMT10H010SPS Datasheet"/>
    <hyperlink ref="A1327" r:id="rId_hyperlink_2651" tooltip="DMT10H014LSS" display="DMT10H014LSS"/>
    <hyperlink ref="B1327" r:id="rId_hyperlink_2652" tooltip="DMT10H014LSS Datasheet" display="DMT10H014LSS Datasheet"/>
    <hyperlink ref="A1328" r:id="rId_hyperlink_2653" tooltip="DMT10H015LCG" display="DMT10H015LCG"/>
    <hyperlink ref="B1328" r:id="rId_hyperlink_2654" tooltip="DMT10H015LCG Datasheet" display="DMT10H015LCG Datasheet"/>
    <hyperlink ref="A1329" r:id="rId_hyperlink_2655" tooltip="DMT10H015LFG" display="DMT10H015LFG"/>
    <hyperlink ref="B1329" r:id="rId_hyperlink_2656" tooltip="DMT10H015LFG Datasheet" display="DMT10H015LFG Datasheet"/>
    <hyperlink ref="A1330" r:id="rId_hyperlink_2657" tooltip="DMT10H015LK3" display="DMT10H015LK3"/>
    <hyperlink ref="B1330" r:id="rId_hyperlink_2658" tooltip="DMT10H015LK3 Datasheet" display="DMT10H015LK3 Datasheet"/>
    <hyperlink ref="A1331" r:id="rId_hyperlink_2659" tooltip="DMT10H015LPS" display="DMT10H015LPS"/>
    <hyperlink ref="B1331" r:id="rId_hyperlink_2660" tooltip="DMT10H015LPS Datasheet" display="DMT10H015LPS Datasheet"/>
    <hyperlink ref="A1332" r:id="rId_hyperlink_2661" tooltip="DMT10H015LSS" display="DMT10H015LSS"/>
    <hyperlink ref="B1332" r:id="rId_hyperlink_2662" tooltip="DMT10H015LSS Datasheet" display="DMT10H015LSS Datasheet"/>
    <hyperlink ref="A1333" r:id="rId_hyperlink_2663" tooltip="DMT10H015SK3" display="DMT10H015SK3"/>
    <hyperlink ref="B1333" r:id="rId_hyperlink_2664" tooltip="DMT10H015SK3 Datasheet" display="DMT10H015SK3 Datasheet"/>
    <hyperlink ref="A1334" r:id="rId_hyperlink_2665" tooltip="DMT10H015SPS" display="DMT10H015SPS"/>
    <hyperlink ref="B1334" r:id="rId_hyperlink_2666" tooltip="DMT10H015SPS Datasheet" display="DMT10H015SPS Datasheet"/>
    <hyperlink ref="A1335" r:id="rId_hyperlink_2667" tooltip="DMT10H017LPD" display="DMT10H017LPD"/>
    <hyperlink ref="B1335" r:id="rId_hyperlink_2668" tooltip="DMT10H017LPD Datasheet" display="DMT10H017LPD Datasheet"/>
    <hyperlink ref="A1336" r:id="rId_hyperlink_2669" tooltip="DMT10H025LK3" display="DMT10H025LK3"/>
    <hyperlink ref="B1336" r:id="rId_hyperlink_2670" tooltip="DMT10H025LK3 Datasheet" display="DMT10H025LK3 Datasheet"/>
    <hyperlink ref="A1337" r:id="rId_hyperlink_2671" tooltip="DMT10H025LSS" display="DMT10H025LSS"/>
    <hyperlink ref="B1337" r:id="rId_hyperlink_2672" tooltip="DMT10H025LSS Datasheet" display="DMT10H025LSS Datasheet"/>
    <hyperlink ref="A1338" r:id="rId_hyperlink_2673" tooltip="DMT10H025SK3" display="DMT10H025SK3"/>
    <hyperlink ref="B1338" r:id="rId_hyperlink_2674" tooltip="DMT10H025SK3 Datasheet" display="DMT10H025SK3 Datasheet"/>
    <hyperlink ref="A1339" r:id="rId_hyperlink_2675" tooltip="DMT10H025SSS" display="DMT10H025SSS"/>
    <hyperlink ref="B1339" r:id="rId_hyperlink_2676" tooltip="DMT10H025SSS Datasheet" display="DMT10H025SSS Datasheet"/>
    <hyperlink ref="A1340" r:id="rId_hyperlink_2677" tooltip="DMT10H032LDV" display="DMT10H032LDV"/>
    <hyperlink ref="B1340" r:id="rId_hyperlink_2678" tooltip="DMT10H032LDV Datasheet" display="DMT10H032LDV Datasheet"/>
    <hyperlink ref="A1341" r:id="rId_hyperlink_2679" tooltip="DMT10H032LDVW" display="DMT10H032LDVW"/>
    <hyperlink ref="B1341" r:id="rId_hyperlink_2680" tooltip="DMT10H032LDVW Datasheet" display="DMT10H032LDVW Datasheet"/>
    <hyperlink ref="A1342" r:id="rId_hyperlink_2681" tooltip="DMT10H032LDVWQ" display="DMT10H032LDVWQ"/>
    <hyperlink ref="B1342" r:id="rId_hyperlink_2682" tooltip="DMT10H032LDVWQ Datasheet" display="DMT10H032LDVWQ Datasheet"/>
    <hyperlink ref="A1343" r:id="rId_hyperlink_2683" tooltip="DMT10H032LFDF" display="DMT10H032LFDF"/>
    <hyperlink ref="B1343" r:id="rId_hyperlink_2684" tooltip="DMT10H032LFDF Datasheet" display="DMT10H032LFDF Datasheet"/>
    <hyperlink ref="A1344" r:id="rId_hyperlink_2685" tooltip="DMT10H032LFVW" display="DMT10H032LFVW"/>
    <hyperlink ref="B1344" r:id="rId_hyperlink_2686" tooltip="DMT10H032LFVW Datasheet" display="DMT10H032LFVW Datasheet"/>
    <hyperlink ref="A1345" r:id="rId_hyperlink_2687" tooltip="DMT10H032LK3" display="DMT10H032LK3"/>
    <hyperlink ref="B1345" r:id="rId_hyperlink_2688" tooltip="DMT10H032LK3 Datasheet" display="DMT10H032LK3 Datasheet"/>
    <hyperlink ref="A1346" r:id="rId_hyperlink_2689" tooltip="DMT10H032LSS" display="DMT10H032LSS"/>
    <hyperlink ref="B1346" r:id="rId_hyperlink_2690" tooltip="DMT10H032LSS Datasheet" display="DMT10H032LSS Datasheet"/>
    <hyperlink ref="A1347" r:id="rId_hyperlink_2691" tooltip="DMT10H032SDVW" display="DMT10H032SDVW"/>
    <hyperlink ref="B1347" r:id="rId_hyperlink_2692" tooltip="DMT10H032SDVW Datasheet" display="DMT10H032SDVW Datasheet"/>
    <hyperlink ref="A1348" r:id="rId_hyperlink_2693" tooltip="DMT10H032SDVWQ" display="DMT10H032SDVWQ"/>
    <hyperlink ref="B1348" r:id="rId_hyperlink_2694" tooltip="DMT10H032SDVWQ Datasheet" display="DMT10H032SDVWQ Datasheet"/>
    <hyperlink ref="A1349" r:id="rId_hyperlink_2695" tooltip="DMT10H032SFVW" display="DMT10H032SFVW"/>
    <hyperlink ref="B1349" r:id="rId_hyperlink_2696" tooltip="DMT10H032SFVW Datasheet" display="DMT10H032SFVW Datasheet"/>
    <hyperlink ref="A1350" r:id="rId_hyperlink_2697" tooltip="DMT10H052LFDF" display="DMT10H052LFDF"/>
    <hyperlink ref="B1350" r:id="rId_hyperlink_2698" tooltip="DMT10H052LFDF Datasheet" display="DMT10H052LFDF Datasheet"/>
    <hyperlink ref="A1351" r:id="rId_hyperlink_2699" tooltip="DMT10H072LDV" display="DMT10H072LDV"/>
    <hyperlink ref="B1351" r:id="rId_hyperlink_2700" tooltip="DMT10H072LDV Datasheet" display="DMT10H072LDV Datasheet"/>
    <hyperlink ref="A1352" r:id="rId_hyperlink_2701" tooltip="DMT10H072LFDF" display="DMT10H072LFDF"/>
    <hyperlink ref="B1352" r:id="rId_hyperlink_2702" tooltip="DMT10H072LFDF Datasheet" display="DMT10H072LFDF Datasheet"/>
    <hyperlink ref="A1353" r:id="rId_hyperlink_2703" tooltip="DMT10H072LFDFQ" display="DMT10H072LFDFQ"/>
    <hyperlink ref="B1353" r:id="rId_hyperlink_2704" tooltip="DMT10H072LFDFQ Datasheet" display="DMT10H072LFDFQ Datasheet"/>
    <hyperlink ref="A1354" r:id="rId_hyperlink_2705" tooltip="DMT10H072LFV" display="DMT10H072LFV"/>
    <hyperlink ref="B1354" r:id="rId_hyperlink_2706" tooltip="DMT10H072LFV Datasheet" display="DMT10H072LFV Datasheet"/>
    <hyperlink ref="A1355" r:id="rId_hyperlink_2707" tooltip="DMT10H075LE" display="DMT10H075LE"/>
    <hyperlink ref="B1355" r:id="rId_hyperlink_2708" tooltip="DMT10H075LE Datasheet" display="DMT10H075LE Datasheet"/>
    <hyperlink ref="A1356" r:id="rId_hyperlink_2709" tooltip="DMT10H4M5LPS" display="DMT10H4M5LPS"/>
    <hyperlink ref="B1356" r:id="rId_hyperlink_2710" tooltip="DMT10H4M5LPS Datasheet" display="DMT10H4M5LPS Datasheet"/>
    <hyperlink ref="A1357" r:id="rId_hyperlink_2711" tooltip="DMT10H9M9LCT" display="DMT10H9M9LCT"/>
    <hyperlink ref="B1357" r:id="rId_hyperlink_2712" tooltip="DMT10H9M9LCT Datasheet" display="DMT10H9M9LCT Datasheet"/>
    <hyperlink ref="A1358" r:id="rId_hyperlink_2713" tooltip="DMT10H9M9SCT" display="DMT10H9M9SCT"/>
    <hyperlink ref="B1358" r:id="rId_hyperlink_2714" tooltip="DMT10H9M9SCT Datasheet" display="DMT10H9M9SCT Datasheet"/>
    <hyperlink ref="A1359" r:id="rId_hyperlink_2715" tooltip="DMT10H9M9SH3" display="DMT10H9M9SH3"/>
    <hyperlink ref="B1359" r:id="rId_hyperlink_2716" tooltip="DMT10H9M9SH3 Datasheet" display="DMT10H9M9SH3 Datasheet"/>
    <hyperlink ref="A1360" r:id="rId_hyperlink_2717" tooltip="DMT12H007LPS" display="DMT12H007LPS"/>
    <hyperlink ref="B1360" r:id="rId_hyperlink_2718" tooltip="DMT12H007LPS Datasheet" display="DMT12H007LPS Datasheet"/>
    <hyperlink ref="A1361" r:id="rId_hyperlink_2719" tooltip="DMT12H007SPS" display="DMT12H007SPS"/>
    <hyperlink ref="B1361" r:id="rId_hyperlink_2720" tooltip="DMT12H007SPS Datasheet" display="DMT12H007SPS Datasheet"/>
    <hyperlink ref="A1362" r:id="rId_hyperlink_2721" tooltip="DMT12H060LCA9" display="DMT12H060LCA9"/>
    <hyperlink ref="B1362" r:id="rId_hyperlink_2722" tooltip="DMT12H060LCA9 Datasheet" display="DMT12H060LCA9 Datasheet"/>
    <hyperlink ref="A1363" r:id="rId_hyperlink_2723" tooltip="DMT12H060LFDF" display="DMT12H060LFDF"/>
    <hyperlink ref="B1363" r:id="rId_hyperlink_2724" tooltip="DMT12H060LFDF Datasheet" display="DMT12H060LFDF Datasheet"/>
    <hyperlink ref="A1364" r:id="rId_hyperlink_2725" tooltip="DMT12H065LFDF" display="DMT12H065LFDF"/>
    <hyperlink ref="B1364" r:id="rId_hyperlink_2726" tooltip="DMT12H065LFDF Datasheet" display="DMT12H065LFDF Datasheet"/>
    <hyperlink ref="A1365" r:id="rId_hyperlink_2727" tooltip="DMT12H090LFDF4" display="DMT12H090LFDF4"/>
    <hyperlink ref="B1365" r:id="rId_hyperlink_2728" tooltip="DMT12H090LFDF4 Datasheet" display="DMT12H090LFDF4 Datasheet"/>
    <hyperlink ref="A1366" r:id="rId_hyperlink_2729" tooltip="DMT15H017LPS" display="DMT15H017LPS"/>
    <hyperlink ref="B1366" r:id="rId_hyperlink_2730" tooltip="DMT15H017LPS Datasheet" display="DMT15H017LPS Datasheet"/>
    <hyperlink ref="A1367" r:id="rId_hyperlink_2731" tooltip="DMT15H017LPSW" display="DMT15H017LPSW"/>
    <hyperlink ref="B1367" r:id="rId_hyperlink_2732" tooltip="DMT15H017LPSW Datasheet" display="DMT15H017LPSW Datasheet"/>
    <hyperlink ref="A1368" r:id="rId_hyperlink_2733" tooltip="DMT15H017SK3" display="DMT15H017SK3"/>
    <hyperlink ref="B1368" r:id="rId_hyperlink_2734" tooltip="DMT15H017SK3 Datasheet" display="DMT15H017SK3 Datasheet"/>
    <hyperlink ref="A1369" r:id="rId_hyperlink_2735" tooltip="DMT15H035SCT" display="DMT15H035SCT"/>
    <hyperlink ref="B1369" r:id="rId_hyperlink_2736" tooltip="DMT15H035SCT Datasheet" display="DMT15H035SCT Datasheet"/>
    <hyperlink ref="A1370" r:id="rId_hyperlink_2737" tooltip="DMT15H053SK3" display="DMT15H053SK3"/>
    <hyperlink ref="B1370" r:id="rId_hyperlink_2738" tooltip="DMT15H053SK3 Datasheet" display="DMT15H053SK3 Datasheet"/>
    <hyperlink ref="A1371" r:id="rId_hyperlink_2739" tooltip="DMT15H053SPSW" display="DMT15H053SPSW"/>
    <hyperlink ref="B1371" r:id="rId_hyperlink_2740" tooltip="DMT15H053SPSW Datasheet" display="DMT15H053SPSW Datasheet"/>
    <hyperlink ref="A1372" r:id="rId_hyperlink_2741" tooltip="DMT15H053SPSWQ" display="DMT15H053SPSWQ"/>
    <hyperlink ref="B1372" r:id="rId_hyperlink_2742" tooltip="DMT15H053SPSWQ Datasheet" display="DMT15H053SPSWQ Datasheet"/>
    <hyperlink ref="A1373" r:id="rId_hyperlink_2743" tooltip="DMT15H053SSS" display="DMT15H053SSS"/>
    <hyperlink ref="B1373" r:id="rId_hyperlink_2744" tooltip="DMT15H053SSS Datasheet" display="DMT15H053SSS Datasheet"/>
    <hyperlink ref="A1374" r:id="rId_hyperlink_2745" tooltip="DMT15H067SSS" display="DMT15H067SSS"/>
    <hyperlink ref="B1374" r:id="rId_hyperlink_2746" tooltip="DMT15H067SSS Datasheet" display="DMT15H067SSS Datasheet"/>
    <hyperlink ref="A1375" r:id="rId_hyperlink_2747" tooltip="DMT2004UFDF" display="DMT2004UFDF"/>
    <hyperlink ref="B1375" r:id="rId_hyperlink_2748" tooltip="DMT2004UFDF Datasheet" display="DMT2004UFDF Datasheet"/>
    <hyperlink ref="A1376" r:id="rId_hyperlink_2749" tooltip="DMT2004UFG" display="DMT2004UFG"/>
    <hyperlink ref="B1376" r:id="rId_hyperlink_2750" tooltip="DMT2004UFG Datasheet" display="DMT2004UFG Datasheet"/>
    <hyperlink ref="A1377" r:id="rId_hyperlink_2751" tooltip="DMT2004UFV" display="DMT2004UFV"/>
    <hyperlink ref="B1377" r:id="rId_hyperlink_2752" tooltip="DMT2004UFV Datasheet" display="DMT2004UFV Datasheet"/>
    <hyperlink ref="A1378" r:id="rId_hyperlink_2753" tooltip="DMT2004UPS" display="DMT2004UPS"/>
    <hyperlink ref="B1378" r:id="rId_hyperlink_2754" tooltip="DMT2004UPS Datasheet" display="DMT2004UPS Datasheet"/>
    <hyperlink ref="A1379" r:id="rId_hyperlink_2755" tooltip="DMT2005UDV" display="DMT2005UDV"/>
    <hyperlink ref="B1379" r:id="rId_hyperlink_2756" tooltip="DMT2005UDV Datasheet" display="DMT2005UDV Datasheet"/>
    <hyperlink ref="A1380" r:id="rId_hyperlink_2757" tooltip="DMT26M0LDG" display="DMT26M0LDG"/>
    <hyperlink ref="B1380" r:id="rId_hyperlink_2758" tooltip="DMT26M0LDG Datasheet" display="DMT26M0LDG Datasheet"/>
    <hyperlink ref="A1381" r:id="rId_hyperlink_2759" tooltip="DMT3002LPS" display="DMT3002LPS"/>
    <hyperlink ref="B1381" r:id="rId_hyperlink_2760" tooltip="DMT3002LPS Datasheet" display="DMT3002LPS Datasheet"/>
    <hyperlink ref="A1382" r:id="rId_hyperlink_2761" tooltip="DMT3003LFG" display="DMT3003LFG"/>
    <hyperlink ref="B1382" r:id="rId_hyperlink_2762" tooltip="DMT3003LFG Datasheet" display="DMT3003LFG Datasheet"/>
    <hyperlink ref="A1383" r:id="rId_hyperlink_2763" tooltip="DMT3003LFGQ" display="DMT3003LFGQ"/>
    <hyperlink ref="B1383" r:id="rId_hyperlink_2764" tooltip="DMT3003LFGQ Datasheet" display="DMT3003LFGQ Datasheet"/>
    <hyperlink ref="A1384" r:id="rId_hyperlink_2765" tooltip="DMT3004LFG" display="DMT3004LFG"/>
    <hyperlink ref="B1384" r:id="rId_hyperlink_2766" tooltip="DMT3004LFG Datasheet" display="DMT3004LFG Datasheet"/>
    <hyperlink ref="A1385" r:id="rId_hyperlink_2767" tooltip="DMT3004LPS" display="DMT3004LPS"/>
    <hyperlink ref="B1385" r:id="rId_hyperlink_2768" tooltip="DMT3004LPS Datasheet" display="DMT3004LPS Datasheet"/>
    <hyperlink ref="A1386" r:id="rId_hyperlink_2769" tooltip="DMT3006LDK" display="DMT3006LDK"/>
    <hyperlink ref="B1386" r:id="rId_hyperlink_2770" tooltip="DMT3006LDK Datasheet" display="DMT3006LDK Datasheet"/>
    <hyperlink ref="A1387" r:id="rId_hyperlink_2771" tooltip="DMT3006LDV" display="DMT3006LDV"/>
    <hyperlink ref="B1387" r:id="rId_hyperlink_2772" tooltip="DMT3006LDV Datasheet" display="DMT3006LDV Datasheet"/>
    <hyperlink ref="A1388" r:id="rId_hyperlink_2773" tooltip="DMT3006LFDF" display="DMT3006LFDF"/>
    <hyperlink ref="B1388" r:id="rId_hyperlink_2774" tooltip="DMT3006LFDF Datasheet" display="DMT3006LFDF Datasheet"/>
    <hyperlink ref="A1389" r:id="rId_hyperlink_2775" tooltip="DMT3006LFDFQ" display="DMT3006LFDFQ"/>
    <hyperlink ref="B1389" r:id="rId_hyperlink_2776" tooltip="DMT3006LFDFQ Datasheet" display="DMT3006LFDFQ Datasheet"/>
    <hyperlink ref="A1390" r:id="rId_hyperlink_2777" tooltip="DMT3006LFG" display="DMT3006LFG"/>
    <hyperlink ref="B1390" r:id="rId_hyperlink_2778" tooltip="DMT3006LFG Datasheet" display="DMT3006LFG Datasheet"/>
    <hyperlink ref="A1391" r:id="rId_hyperlink_2779" tooltip="DMT3006LFV" display="DMT3006LFV"/>
    <hyperlink ref="B1391" r:id="rId_hyperlink_2780" tooltip="DMT3006LFV Datasheet" display="DMT3006LFV Datasheet"/>
    <hyperlink ref="A1392" r:id="rId_hyperlink_2781" tooltip="DMT3006LFVQ" display="DMT3006LFVQ"/>
    <hyperlink ref="B1392" r:id="rId_hyperlink_2782" tooltip="DMT3006LFVQ Datasheet" display="DMT3006LFVQ Datasheet"/>
    <hyperlink ref="A1393" r:id="rId_hyperlink_2783" tooltip="DMT3006LPB" display="DMT3006LPB"/>
    <hyperlink ref="B1393" r:id="rId_hyperlink_2784" tooltip="DMT3006LPB Datasheet" display="DMT3006LPB Datasheet"/>
    <hyperlink ref="A1394" r:id="rId_hyperlink_2785" tooltip="DMT3006LPS" display="DMT3006LPS"/>
    <hyperlink ref="B1394" r:id="rId_hyperlink_2786" tooltip="DMT3006LPS Datasheet" display="DMT3006LPS Datasheet"/>
    <hyperlink ref="A1395" r:id="rId_hyperlink_2787" tooltip="DMT3008LFDF" display="DMT3008LFDF"/>
    <hyperlink ref="B1395" r:id="rId_hyperlink_2788" tooltip="DMT3008LFDF Datasheet" display="DMT3008LFDF Datasheet"/>
    <hyperlink ref="A1396" r:id="rId_hyperlink_2789" tooltip="DMT3009LDT" display="DMT3009LDT"/>
    <hyperlink ref="B1396" r:id="rId_hyperlink_2790" tooltip="DMT3009LDT Datasheet" display="DMT3009LDT Datasheet"/>
    <hyperlink ref="A1397" r:id="rId_hyperlink_2791" tooltip="DMT3009LEV" display="DMT3009LEV"/>
    <hyperlink ref="B1397" r:id="rId_hyperlink_2792" tooltip="DMT3009LEV Datasheet" display="DMT3009LEV Datasheet"/>
    <hyperlink ref="A1398" r:id="rId_hyperlink_2793" tooltip="DMT3009LFVW" display="DMT3009LFVW"/>
    <hyperlink ref="B1398" r:id="rId_hyperlink_2794" tooltip="DMT3009LFVW Datasheet" display="DMT3009LFVW Datasheet"/>
    <hyperlink ref="A1399" r:id="rId_hyperlink_2795" tooltip="DMT3009LFVWQ" display="DMT3009LFVWQ"/>
    <hyperlink ref="B1399" r:id="rId_hyperlink_2796" tooltip="DMT3009LFVWQ Datasheet" display="DMT3009LFVWQ Datasheet"/>
    <hyperlink ref="A1400" r:id="rId_hyperlink_2797" tooltip="DMT3009UDT" display="DMT3009UDT"/>
    <hyperlink ref="B1400" r:id="rId_hyperlink_2798" tooltip="DMT3009UDT Datasheet" display="DMT3009UDT Datasheet"/>
    <hyperlink ref="A1401" r:id="rId_hyperlink_2799" tooltip="DMT3009UFVW" display="DMT3009UFVW"/>
    <hyperlink ref="B1401" r:id="rId_hyperlink_2800" tooltip="DMT3009UFVW Datasheet" display="DMT3009UFVW Datasheet"/>
    <hyperlink ref="A1402" r:id="rId_hyperlink_2801" tooltip="DMT3011LDT" display="DMT3011LDT"/>
    <hyperlink ref="B1402" r:id="rId_hyperlink_2802" tooltip="DMT3011LDT Datasheet" display="DMT3011LDT Datasheet"/>
    <hyperlink ref="A1403" r:id="rId_hyperlink_2803" tooltip="DMT3020LDT" display="DMT3020LDT"/>
    <hyperlink ref="B1403" r:id="rId_hyperlink_2804" tooltip="DMT3020LDT Datasheet" display="DMT3020LDT Datasheet"/>
    <hyperlink ref="A1404" r:id="rId_hyperlink_2805" tooltip="DMT3020LDV" display="DMT3020LDV"/>
    <hyperlink ref="B1404" r:id="rId_hyperlink_2806" tooltip="DMT3020LDV Datasheet" display="DMT3020LDV Datasheet"/>
    <hyperlink ref="A1405" r:id="rId_hyperlink_2807" tooltip="DMT3020LFCL" display="DMT3020LFCL"/>
    <hyperlink ref="B1405" r:id="rId_hyperlink_2808" tooltip="DMT3020LFCL Datasheet" display="DMT3020LFCL Datasheet"/>
    <hyperlink ref="A1406" r:id="rId_hyperlink_2809" tooltip="DMT3020LFDB" display="DMT3020LFDB"/>
    <hyperlink ref="B1406" r:id="rId_hyperlink_2810" tooltip="DMT3020LFDB Datasheet" display="DMT3020LFDB Datasheet"/>
    <hyperlink ref="A1407" r:id="rId_hyperlink_2811" tooltip="DMT3020LFDBQ" display="DMT3020LFDBQ"/>
    <hyperlink ref="B1407" r:id="rId_hyperlink_2812" tooltip="DMT3020LFDBQ Datasheet" display="DMT3020LFDBQ Datasheet"/>
    <hyperlink ref="A1408" r:id="rId_hyperlink_2813" tooltip="DMT3020LFDF" display="DMT3020LFDF"/>
    <hyperlink ref="B1408" r:id="rId_hyperlink_2814" tooltip="DMT3020LFDF Datasheet" display="DMT3020LFDF Datasheet"/>
    <hyperlink ref="A1409" r:id="rId_hyperlink_2815" tooltip="DMT3020LFDFQ" display="DMT3020LFDFQ"/>
    <hyperlink ref="B1409" r:id="rId_hyperlink_2816" tooltip="DMT3020LFDFQ Datasheet" display="DMT3020LFDFQ Datasheet"/>
    <hyperlink ref="A1410" r:id="rId_hyperlink_2817" tooltip="DMT3020LFVW" display="DMT3020LFVW"/>
    <hyperlink ref="B1410" r:id="rId_hyperlink_2818" tooltip="DMT3020LFVW Datasheet" display="DMT3020LFVW Datasheet"/>
    <hyperlink ref="A1411" r:id="rId_hyperlink_2819" tooltip="DMT3020LSD" display="DMT3020LSD"/>
    <hyperlink ref="B1411" r:id="rId_hyperlink_2820" tooltip="DMT3020LSD Datasheet" display="DMT3020LSD Datasheet"/>
    <hyperlink ref="A1412" r:id="rId_hyperlink_2821" tooltip="DMT3020LSDQ" display="DMT3020LSDQ"/>
    <hyperlink ref="B1412" r:id="rId_hyperlink_2822" tooltip="DMT3020LSDQ Datasheet" display="DMT3020LSDQ Datasheet"/>
    <hyperlink ref="A1413" r:id="rId_hyperlink_2823" tooltip="DMT3020UFDB" display="DMT3020UFDB"/>
    <hyperlink ref="B1413" r:id="rId_hyperlink_2824" tooltip="DMT3020UFDB Datasheet" display="DMT3020UFDB Datasheet"/>
    <hyperlink ref="A1414" r:id="rId_hyperlink_2825" tooltip="DMT3022UEV" display="DMT3022UEV"/>
    <hyperlink ref="B1414" r:id="rId_hyperlink_2826" tooltip="DMT3022UEV Datasheet" display="DMT3022UEV Datasheet"/>
    <hyperlink ref="A1415" r:id="rId_hyperlink_2827" tooltip="DMT30M9LPS" display="DMT30M9LPS"/>
    <hyperlink ref="B1415" r:id="rId_hyperlink_2828" tooltip="DMT30M9LPS Datasheet" display="DMT30M9LPS Datasheet"/>
    <hyperlink ref="A1416" r:id="rId_hyperlink_2829" tooltip="DMT31M6LPS" display="DMT31M6LPS"/>
    <hyperlink ref="B1416" r:id="rId_hyperlink_2830" tooltip="DMT31M6LPS Datasheet" display="DMT31M6LPS Datasheet"/>
    <hyperlink ref="A1417" r:id="rId_hyperlink_2831" tooltip="DMT31M7LPS" display="DMT31M7LPS"/>
    <hyperlink ref="B1417" r:id="rId_hyperlink_2832" tooltip="DMT31M7LPS Datasheet" display="DMT31M7LPS Datasheet"/>
    <hyperlink ref="A1418" r:id="rId_hyperlink_2833" tooltip="DMT31M7LSS" display="DMT31M7LSS"/>
    <hyperlink ref="B1418" r:id="rId_hyperlink_2834" tooltip="DMT31M7LSS Datasheet" display="DMT31M7LSS Datasheet"/>
    <hyperlink ref="A1419" r:id="rId_hyperlink_2835" tooltip="DMT32M4LFG" display="DMT32M4LFG"/>
    <hyperlink ref="B1419" r:id="rId_hyperlink_2836" tooltip="DMT32M4LFG Datasheet" display="DMT32M4LFG Datasheet"/>
    <hyperlink ref="A1420" r:id="rId_hyperlink_2837" tooltip="DMT32M4LPSW" display="DMT32M4LPSW"/>
    <hyperlink ref="B1420" r:id="rId_hyperlink_2838" tooltip="DMT32M4LPSW Datasheet" display="DMT32M4LPSW Datasheet"/>
    <hyperlink ref="A1421" r:id="rId_hyperlink_2839" tooltip="DMT32M5LFG" display="DMT32M5LFG"/>
    <hyperlink ref="B1421" r:id="rId_hyperlink_2840" tooltip="DMT32M5LFG Datasheet" display="DMT32M5LFG Datasheet"/>
    <hyperlink ref="A1422" r:id="rId_hyperlink_2841" tooltip="DMT32M5LPS" display="DMT32M5LPS"/>
    <hyperlink ref="B1422" r:id="rId_hyperlink_2842" tooltip="DMT32M5LPS Datasheet" display="DMT32M5LPS Datasheet"/>
    <hyperlink ref="A1423" r:id="rId_hyperlink_2843" tooltip="DMT32M5LPSW" display="DMT32M5LPSW"/>
    <hyperlink ref="B1423" r:id="rId_hyperlink_2844" tooltip="DMT32M5LPSW Datasheet" display="DMT32M5LPSW Datasheet"/>
    <hyperlink ref="A1424" r:id="rId_hyperlink_2845" tooltip="DMT32M6LDG" display="DMT32M6LDG"/>
    <hyperlink ref="B1424" r:id="rId_hyperlink_2846" tooltip="DMT32M6LDG Datasheet" display="DMT32M6LDG Datasheet"/>
    <hyperlink ref="A1425" r:id="rId_hyperlink_2847" tooltip="DMT34M1LPS" display="DMT34M1LPS"/>
    <hyperlink ref="B1425" r:id="rId_hyperlink_2848" tooltip="DMT34M1LPS Datasheet" display="DMT34M1LPS Datasheet"/>
    <hyperlink ref="A1426" r:id="rId_hyperlink_2849" tooltip="DMT34M8LFDE" display="DMT34M8LFDE"/>
    <hyperlink ref="B1426" r:id="rId_hyperlink_2850" tooltip="DMT34M8LFDE Datasheet" display="DMT34M8LFDE Datasheet"/>
    <hyperlink ref="A1427" r:id="rId_hyperlink_2851" tooltip="DMT35M4LFDF" display="DMT35M4LFDF"/>
    <hyperlink ref="B1427" r:id="rId_hyperlink_2852" tooltip="DMT35M4LFDF Datasheet" display="DMT35M4LFDF Datasheet"/>
    <hyperlink ref="A1428" r:id="rId_hyperlink_2853" tooltip="DMT35M4LFDF4" display="DMT35M4LFDF4"/>
    <hyperlink ref="B1428" r:id="rId_hyperlink_2854" tooltip="DMT35M4LFDF4 Datasheet" display="DMT35M4LFDF4 Datasheet"/>
    <hyperlink ref="A1429" r:id="rId_hyperlink_2855" tooltip="DMT35M4LFVW" display="DMT35M4LFVW"/>
    <hyperlink ref="B1429" r:id="rId_hyperlink_2856" tooltip="DMT35M4LFVW Datasheet" display="DMT35M4LFVW Datasheet"/>
    <hyperlink ref="A1430" r:id="rId_hyperlink_2857" tooltip="DMT35M4LPSW" display="DMT35M4LPSW"/>
    <hyperlink ref="B1430" r:id="rId_hyperlink_2858" tooltip="DMT35M4LPSW Datasheet" display="DMT35M4LPSW Datasheet"/>
    <hyperlink ref="A1431" r:id="rId_hyperlink_2859" tooltip="DMT35M7LFV" display="DMT35M7LFV"/>
    <hyperlink ref="B1431" r:id="rId_hyperlink_2860" tooltip="DMT35M7LFV Datasheet" display="DMT35M7LFV Datasheet"/>
    <hyperlink ref="A1432" r:id="rId_hyperlink_2861" tooltip="DMT35M8LDG" display="DMT35M8LDG"/>
    <hyperlink ref="B1432" r:id="rId_hyperlink_2862" tooltip="DMT35M8LDG Datasheet" display="DMT35M8LDG Datasheet"/>
    <hyperlink ref="A1433" r:id="rId_hyperlink_2863" tooltip="DMT36M1LPS" display="DMT36M1LPS"/>
    <hyperlink ref="B1433" r:id="rId_hyperlink_2864" tooltip="DMT36M1LPS Datasheet" display="DMT36M1LPS Datasheet"/>
    <hyperlink ref="A1434" r:id="rId_hyperlink_2865" tooltip="DMT4002LPS" display="DMT4002LPS"/>
    <hyperlink ref="B1434" r:id="rId_hyperlink_2866" tooltip="DMT4002LPS Datasheet" display="DMT4002LPS Datasheet"/>
    <hyperlink ref="A1435" r:id="rId_hyperlink_2867" tooltip="DMT4003SCT" display="DMT4003SCT"/>
    <hyperlink ref="B1435" r:id="rId_hyperlink_2868" tooltip="DMT4003SCT Datasheet" display="DMT4003SCT Datasheet"/>
    <hyperlink ref="A1436" r:id="rId_hyperlink_2869" tooltip="DMT4004LPS" display="DMT4004LPS"/>
    <hyperlink ref="B1436" r:id="rId_hyperlink_2870" tooltip="DMT4004LPS Datasheet" display="DMT4004LPS Datasheet"/>
    <hyperlink ref="A1437" r:id="rId_hyperlink_2871" tooltip="DMT4005SCT" display="DMT4005SCT"/>
    <hyperlink ref="B1437" r:id="rId_hyperlink_2872" tooltip="DMT4005SCT Datasheet" display="DMT4005SCT Datasheet"/>
    <hyperlink ref="A1438" r:id="rId_hyperlink_2873" tooltip="DMT4008LFDF" display="DMT4008LFDF"/>
    <hyperlink ref="B1438" r:id="rId_hyperlink_2874" tooltip="DMT4008LFDF Datasheet" display="DMT4008LFDF Datasheet"/>
    <hyperlink ref="A1439" r:id="rId_hyperlink_2875" tooltip="DMT4008LFV" display="DMT4008LFV"/>
    <hyperlink ref="B1439" r:id="rId_hyperlink_2876" tooltip="DMT4008LFV Datasheet" display="DMT4008LFV Datasheet"/>
    <hyperlink ref="A1440" r:id="rId_hyperlink_2877" tooltip="DMT4008LSS" display="DMT4008LSS"/>
    <hyperlink ref="B1440" r:id="rId_hyperlink_2878" tooltip="DMT4008LSS Datasheet" display="DMT4008LSS Datasheet"/>
    <hyperlink ref="A1441" r:id="rId_hyperlink_2879" tooltip="DMT4011LFG" display="DMT4011LFG"/>
    <hyperlink ref="B1441" r:id="rId_hyperlink_2880" tooltip="DMT4011LFG Datasheet" display="DMT4011LFG Datasheet"/>
    <hyperlink ref="A1442" r:id="rId_hyperlink_2881" tooltip="DMT4011LSS" display="DMT4011LSS"/>
    <hyperlink ref="B1442" r:id="rId_hyperlink_2882" tooltip="DMT4011LSS Datasheet" display="DMT4011LSS Datasheet"/>
    <hyperlink ref="A1443" r:id="rId_hyperlink_2883" tooltip="DMT4014LDV" display="DMT4014LDV"/>
    <hyperlink ref="B1443" r:id="rId_hyperlink_2884" tooltip="DMT4014LDV Datasheet" display="DMT4014LDV Datasheet"/>
    <hyperlink ref="A1444" r:id="rId_hyperlink_2885" tooltip="DMT4015LDV" display="DMT4015LDV"/>
    <hyperlink ref="B1444" r:id="rId_hyperlink_2886" tooltip="DMT4015LDV Datasheet" display="DMT4015LDV Datasheet"/>
    <hyperlink ref="A1445" r:id="rId_hyperlink_2887" tooltip="DMT4031LFDF" display="DMT4031LFDF"/>
    <hyperlink ref="B1445" r:id="rId_hyperlink_2888" tooltip="DMT4031LFDF Datasheet" display="DMT4031LFDF Datasheet"/>
    <hyperlink ref="A1446" r:id="rId_hyperlink_2889" tooltip="DMT4031LSD" display="DMT4031LSD"/>
    <hyperlink ref="B1446" r:id="rId_hyperlink_2890" tooltip="DMT4031LSD Datasheet" display="DMT4031LSD Datasheet"/>
    <hyperlink ref="A1447" r:id="rId_hyperlink_2891" tooltip="DMT43M8LFV" display="DMT43M8LFV"/>
    <hyperlink ref="B1447" r:id="rId_hyperlink_2892" tooltip="DMT43M8LFV Datasheet" display="DMT43M8LFV Datasheet"/>
    <hyperlink ref="A1448" r:id="rId_hyperlink_2893" tooltip="DMT47M2LDV" display="DMT47M2LDV"/>
    <hyperlink ref="B1448" r:id="rId_hyperlink_2894" tooltip="DMT47M2LDV Datasheet" display="DMT47M2LDV Datasheet"/>
    <hyperlink ref="A1449" r:id="rId_hyperlink_2895" tooltip="DMT47M2LDVQ" display="DMT47M2LDVQ"/>
    <hyperlink ref="B1449" r:id="rId_hyperlink_2896" tooltip="DMT47M2LDVQ Datasheet" display="DMT47M2LDVQ Datasheet"/>
    <hyperlink ref="A1450" r:id="rId_hyperlink_2897" tooltip="DMT47M2SFVW" display="DMT47M2SFVW"/>
    <hyperlink ref="B1450" r:id="rId_hyperlink_2898" tooltip="DMT47M2SFVW Datasheet" display="DMT47M2SFVW Datasheet"/>
    <hyperlink ref="A1451" r:id="rId_hyperlink_2899" tooltip="DMT47M2SFVWQ" display="DMT47M2SFVWQ"/>
    <hyperlink ref="B1451" r:id="rId_hyperlink_2900" tooltip="DMT47M2SFVWQ Datasheet" display="DMT47M2SFVWQ Datasheet"/>
    <hyperlink ref="A1452" r:id="rId_hyperlink_2901" tooltip="DMT5012LFVW" display="DMT5012LFVW"/>
    <hyperlink ref="B1452" r:id="rId_hyperlink_2902" tooltip="DMT5012LFVW Datasheet" display="DMT5012LFVW Datasheet"/>
    <hyperlink ref="A1453" r:id="rId_hyperlink_2903" tooltip="DMT6002LPS" display="DMT6002LPS"/>
    <hyperlink ref="B1453" r:id="rId_hyperlink_2904" tooltip="DMT6002LPS Datasheet" display="DMT6002LPS Datasheet"/>
    <hyperlink ref="A1454" r:id="rId_hyperlink_2905" tooltip="DMT6004LPS" display="DMT6004LPS"/>
    <hyperlink ref="B1454" r:id="rId_hyperlink_2906" tooltip="DMT6004LPS Datasheet" display="DMT6004LPS Datasheet"/>
    <hyperlink ref="A1455" r:id="rId_hyperlink_2907" tooltip="DMT6004SCT" display="DMT6004SCT"/>
    <hyperlink ref="B1455" r:id="rId_hyperlink_2908" tooltip="DMT6004SCT Datasheet" display="DMT6004SCT Datasheet"/>
    <hyperlink ref="A1456" r:id="rId_hyperlink_2909" tooltip="DMT6004SPS" display="DMT6004SPS"/>
    <hyperlink ref="B1456" r:id="rId_hyperlink_2910" tooltip="DMT6004SPS Datasheet" display="DMT6004SPS Datasheet"/>
    <hyperlink ref="A1457" r:id="rId_hyperlink_2911" tooltip="DMT6005LCT" display="DMT6005LCT"/>
    <hyperlink ref="B1457" r:id="rId_hyperlink_2912" tooltip="DMT6005LCT Datasheet" display="DMT6005LCT Datasheet"/>
    <hyperlink ref="A1458" r:id="rId_hyperlink_2913" tooltip="DMT6005LFG" display="DMT6005LFG"/>
    <hyperlink ref="B1458" r:id="rId_hyperlink_2914" tooltip="DMT6005LFG Datasheet" display="DMT6005LFG Datasheet"/>
    <hyperlink ref="A1459" r:id="rId_hyperlink_2915" tooltip="DMT6005LPS" display="DMT6005LPS"/>
    <hyperlink ref="B1459" r:id="rId_hyperlink_2916" tooltip="DMT6005LPS Datasheet" display="DMT6005LPS Datasheet"/>
    <hyperlink ref="A1460" r:id="rId_hyperlink_2917" tooltip="DMT6005LSS" display="DMT6005LSS"/>
    <hyperlink ref="B1460" r:id="rId_hyperlink_2918" tooltip="DMT6005LSS Datasheet" display="DMT6005LSS Datasheet"/>
    <hyperlink ref="A1461" r:id="rId_hyperlink_2919" tooltip="DMT6006LK3" display="DMT6006LK3"/>
    <hyperlink ref="B1461" r:id="rId_hyperlink_2920" tooltip="DMT6006LK3 Datasheet" display="DMT6006LK3 Datasheet"/>
    <hyperlink ref="A1462" r:id="rId_hyperlink_2921" tooltip="DMT6006LSS" display="DMT6006LSS"/>
    <hyperlink ref="B1462" r:id="rId_hyperlink_2922" tooltip="DMT6006LSS Datasheet" display="DMT6006LSS Datasheet"/>
    <hyperlink ref="A1463" r:id="rId_hyperlink_2923" tooltip="DMT6006SPS" display="DMT6006SPS"/>
    <hyperlink ref="B1463" r:id="rId_hyperlink_2924" tooltip="DMT6006SPS Datasheet" display="DMT6006SPS Datasheet"/>
    <hyperlink ref="A1464" r:id="rId_hyperlink_2925" tooltip="DMT6007LFG" display="DMT6007LFG"/>
    <hyperlink ref="B1464" r:id="rId_hyperlink_2926" tooltip="DMT6007LFG Datasheet" display="DMT6007LFG Datasheet"/>
    <hyperlink ref="A1465" r:id="rId_hyperlink_2927" tooltip="DMT6007LFGQ" display="DMT6007LFGQ"/>
    <hyperlink ref="B1465" r:id="rId_hyperlink_2928" tooltip="DMT6007LFGQ Datasheet" display="DMT6007LFGQ Datasheet"/>
    <hyperlink ref="A1466" r:id="rId_hyperlink_2929" tooltip="DMT6008LFG" display="DMT6008LFG"/>
    <hyperlink ref="B1466" r:id="rId_hyperlink_2930" tooltip="DMT6008LFG Datasheet" display="DMT6008LFG Datasheet"/>
    <hyperlink ref="A1467" r:id="rId_hyperlink_2931" tooltip="DMT6009LCT" display="DMT6009LCT"/>
    <hyperlink ref="B1467" r:id="rId_hyperlink_2932" tooltip="DMT6009LCT Datasheet" display="DMT6009LCT Datasheet"/>
    <hyperlink ref="A1468" r:id="rId_hyperlink_2933" tooltip="DMT6009LFG" display="DMT6009LFG"/>
    <hyperlink ref="B1468" r:id="rId_hyperlink_2934" tooltip="DMT6009LFG Datasheet" display="DMT6009LFG Datasheet"/>
    <hyperlink ref="A1469" r:id="rId_hyperlink_2935" tooltip="DMT6009LK3" display="DMT6009LK3"/>
    <hyperlink ref="B1469" r:id="rId_hyperlink_2936" tooltip="DMT6009LK3 Datasheet" display="DMT6009LK3 Datasheet"/>
    <hyperlink ref="A1470" r:id="rId_hyperlink_2937" tooltip="DMT6009LPS" display="DMT6009LPS"/>
    <hyperlink ref="B1470" r:id="rId_hyperlink_2938" tooltip="DMT6009LPS Datasheet" display="DMT6009LPS Datasheet"/>
    <hyperlink ref="A1471" r:id="rId_hyperlink_2939" tooltip="DMT6009LSS" display="DMT6009LSS"/>
    <hyperlink ref="B1471" r:id="rId_hyperlink_2940" tooltip="DMT6009LSS Datasheet" display="DMT6009LSS Datasheet"/>
    <hyperlink ref="A1472" r:id="rId_hyperlink_2941" tooltip="DMT6010LFG" display="DMT6010LFG"/>
    <hyperlink ref="B1472" r:id="rId_hyperlink_2942" tooltip="DMT6010LFG Datasheet" display="DMT6010LFG Datasheet"/>
    <hyperlink ref="A1473" r:id="rId_hyperlink_2943" tooltip="DMT6010LPS" display="DMT6010LPS"/>
    <hyperlink ref="B1473" r:id="rId_hyperlink_2944" tooltip="DMT6010LPS Datasheet" display="DMT6010LPS Datasheet"/>
    <hyperlink ref="A1474" r:id="rId_hyperlink_2945" tooltip="DMT6010LSS" display="DMT6010LSS"/>
    <hyperlink ref="B1474" r:id="rId_hyperlink_2946" tooltip="DMT6010LSS Datasheet" display="DMT6010LSS Datasheet"/>
    <hyperlink ref="A1475" r:id="rId_hyperlink_2947" tooltip="DMT6010SCT" display="DMT6010SCT"/>
    <hyperlink ref="B1475" r:id="rId_hyperlink_2948" tooltip="DMT6010SCT Datasheet" display="DMT6010SCT Datasheet"/>
    <hyperlink ref="A1476" r:id="rId_hyperlink_2949" tooltip="DMT6011LPDW" display="DMT6011LPDW"/>
    <hyperlink ref="B1476" r:id="rId_hyperlink_2950" tooltip="DMT6011LPDW Datasheet" display="DMT6011LPDW Datasheet"/>
    <hyperlink ref="A1477" r:id="rId_hyperlink_2951" tooltip="DMT6011LSS" display="DMT6011LSS"/>
    <hyperlink ref="B1477" r:id="rId_hyperlink_2952" tooltip="DMT6011LSS Datasheet" display="DMT6011LSS Datasheet"/>
    <hyperlink ref="A1478" r:id="rId_hyperlink_2953" tooltip="DMT6012LFDF" display="DMT6012LFDF"/>
    <hyperlink ref="B1478" r:id="rId_hyperlink_2954" tooltip="DMT6012LFDF Datasheet" display="DMT6012LFDF Datasheet"/>
    <hyperlink ref="A1479" r:id="rId_hyperlink_2955" tooltip="DMT6012LFV" display="DMT6012LFV"/>
    <hyperlink ref="B1479" r:id="rId_hyperlink_2956" tooltip="DMT6012LFV Datasheet" display="DMT6012LFV Datasheet"/>
    <hyperlink ref="A1480" r:id="rId_hyperlink_2957" tooltip="DMT6012LPSW" display="DMT6012LPSW"/>
    <hyperlink ref="B1480" r:id="rId_hyperlink_2958" tooltip="DMT6012LPSW Datasheet" display="DMT6012LPSW Datasheet"/>
    <hyperlink ref="A1481" r:id="rId_hyperlink_2959" tooltip="DMT6012LSS" display="DMT6012LSS"/>
    <hyperlink ref="B1481" r:id="rId_hyperlink_2960" tooltip="DMT6012LSS Datasheet" display="DMT6012LSS Datasheet"/>
    <hyperlink ref="A1482" r:id="rId_hyperlink_2961" tooltip="DMT6013LFDF" display="DMT6013LFDF"/>
    <hyperlink ref="B1482" r:id="rId_hyperlink_2962" tooltip="DMT6013LFDF Datasheet" display="DMT6013LFDF Datasheet"/>
    <hyperlink ref="A1483" r:id="rId_hyperlink_2963" tooltip="DMT6013LSS" display="DMT6013LSS"/>
    <hyperlink ref="B1483" r:id="rId_hyperlink_2964" tooltip="DMT6013LSS Datasheet" display="DMT6013LSS Datasheet"/>
    <hyperlink ref="A1484" r:id="rId_hyperlink_2965" tooltip="DMT6015LFV" display="DMT6015LFV"/>
    <hyperlink ref="B1484" r:id="rId_hyperlink_2966" tooltip="DMT6015LFV Datasheet" display="DMT6015LFV Datasheet"/>
    <hyperlink ref="A1485" r:id="rId_hyperlink_2967" tooltip="DMT6015LFVW" display="DMT6015LFVW"/>
    <hyperlink ref="B1485" r:id="rId_hyperlink_2968" tooltip="DMT6015LFVW Datasheet" display="DMT6015LFVW Datasheet"/>
    <hyperlink ref="A1486" r:id="rId_hyperlink_2969" tooltip="DMT6015LPDW" display="DMT6015LPDW"/>
    <hyperlink ref="B1486" r:id="rId_hyperlink_2970" tooltip="DMT6015LPDW Datasheet" display="DMT6015LPDW Datasheet"/>
    <hyperlink ref="A1487" r:id="rId_hyperlink_2971" tooltip="DMT6015LPS" display="DMT6015LPS"/>
    <hyperlink ref="B1487" r:id="rId_hyperlink_2972" tooltip="DMT6015LPS Datasheet" display="DMT6015LPS Datasheet"/>
    <hyperlink ref="A1488" r:id="rId_hyperlink_2973" tooltip="DMT6015LSS" display="DMT6015LSS"/>
    <hyperlink ref="B1488" r:id="rId_hyperlink_2974" tooltip="DMT6015LSS Datasheet" display="DMT6015LSS Datasheet"/>
    <hyperlink ref="A1489" r:id="rId_hyperlink_2975" tooltip="DMT6016LFDF" display="DMT6016LFDF"/>
    <hyperlink ref="B1489" r:id="rId_hyperlink_2976" tooltip="DMT6016LFDF Datasheet" display="DMT6016LFDF Datasheet"/>
    <hyperlink ref="A1490" r:id="rId_hyperlink_2977" tooltip="DMT6016LPS" display="DMT6016LPS"/>
    <hyperlink ref="B1490" r:id="rId_hyperlink_2978" tooltip="DMT6016LPS Datasheet" display="DMT6016LPS Datasheet"/>
    <hyperlink ref="A1491" r:id="rId_hyperlink_2979" tooltip="DMT6016LPSW" display="DMT6016LPSW"/>
    <hyperlink ref="B1491" r:id="rId_hyperlink_2980" tooltip="DMT6016LPSW Datasheet" display="DMT6016LPSW Datasheet"/>
    <hyperlink ref="A1492" r:id="rId_hyperlink_2981" tooltip="DMT6016LSS" display="DMT6016LSS"/>
    <hyperlink ref="B1492" r:id="rId_hyperlink_2982" tooltip="DMT6016LSS Datasheet" display="DMT6016LSS Datasheet"/>
    <hyperlink ref="A1493" r:id="rId_hyperlink_2983" tooltip="DMT6017LDV" display="DMT6017LDV"/>
    <hyperlink ref="B1493" r:id="rId_hyperlink_2984" tooltip="DMT6017LDV Datasheet" display="DMT6017LDV Datasheet"/>
    <hyperlink ref="A1494" r:id="rId_hyperlink_2985" tooltip="DMT6017LFDF" display="DMT6017LFDF"/>
    <hyperlink ref="B1494" r:id="rId_hyperlink_2986" tooltip="DMT6017LFDF Datasheet" display="DMT6017LFDF Datasheet"/>
    <hyperlink ref="A1495" r:id="rId_hyperlink_2987" tooltip="DMT6017LFV" display="DMT6017LFV"/>
    <hyperlink ref="B1495" r:id="rId_hyperlink_2988" tooltip="DMT6017LFV Datasheet" display="DMT6017LFV Datasheet"/>
    <hyperlink ref="A1496" r:id="rId_hyperlink_2989" tooltip="DMT6017LSS" display="DMT6017LSS"/>
    <hyperlink ref="B1496" r:id="rId_hyperlink_2990" tooltip="DMT6017LSS Datasheet" display="DMT6017LSS Datasheet"/>
    <hyperlink ref="A1497" r:id="rId_hyperlink_2991" tooltip="DMT6018LDR" display="DMT6018LDR"/>
    <hyperlink ref="B1497" r:id="rId_hyperlink_2992" tooltip="DMT6018LDR Datasheet" display="DMT6018LDR Datasheet"/>
    <hyperlink ref="A1498" r:id="rId_hyperlink_2993" tooltip="DMT6030LFCL" display="DMT6030LFCL"/>
    <hyperlink ref="B1498" r:id="rId_hyperlink_2994" tooltip="DMT6030LFCL Datasheet" display="DMT6030LFCL Datasheet"/>
    <hyperlink ref="A1499" r:id="rId_hyperlink_2995" tooltip="DMT6030LFDF" display="DMT6030LFDF"/>
    <hyperlink ref="B1499" r:id="rId_hyperlink_2996" tooltip="DMT6030LFDF Datasheet" display="DMT6030LFDF Datasheet"/>
    <hyperlink ref="A1500" r:id="rId_hyperlink_2997" tooltip="DMT615MLFV" display="DMT615MLFV"/>
    <hyperlink ref="B1500" r:id="rId_hyperlink_2998" tooltip="DMT615MLFV Datasheet" display="DMT615MLFV Datasheet"/>
    <hyperlink ref="A1501" r:id="rId_hyperlink_2999" tooltip="DMT616MLSS" display="DMT616MLSS"/>
    <hyperlink ref="B1501" r:id="rId_hyperlink_3000" tooltip="DMT616MLSS Datasheet" display="DMT616MLSS Datasheet"/>
    <hyperlink ref="A1502" r:id="rId_hyperlink_3001" tooltip="DMT61M5SPSW" display="DMT61M5SPSW"/>
    <hyperlink ref="B1502" r:id="rId_hyperlink_3002" tooltip="DMT61M5SPSW Datasheet" display="DMT61M5SPSW Datasheet"/>
    <hyperlink ref="A1503" r:id="rId_hyperlink_3003" tooltip="DMT61M8SPS" display="DMT61M8SPS"/>
    <hyperlink ref="B1503" r:id="rId_hyperlink_3004" tooltip="DMT61M8SPS Datasheet" display="DMT61M8SPS Datasheet"/>
    <hyperlink ref="A1504" r:id="rId_hyperlink_3005" tooltip="DMT62M7SPSW" display="DMT62M7SPSW"/>
    <hyperlink ref="B1504" r:id="rId_hyperlink_3006" tooltip="DMT62M7SPSW Datasheet" display="DMT62M7SPSW Datasheet"/>
    <hyperlink ref="A1505" r:id="rId_hyperlink_3007" tooltip="DMT64M1LCG" display="DMT64M1LCG"/>
    <hyperlink ref="B1505" r:id="rId_hyperlink_3008" tooltip="DMT64M1LCG Datasheet" display="DMT64M1LCG Datasheet"/>
    <hyperlink ref="A1506" r:id="rId_hyperlink_3009" tooltip="DMT64M1LPSW" display="DMT64M1LPSW"/>
    <hyperlink ref="B1506" r:id="rId_hyperlink_3010" tooltip="DMT64M1LPSW Datasheet" display="DMT64M1LPSW Datasheet"/>
    <hyperlink ref="A1507" r:id="rId_hyperlink_3011" tooltip="DMT64M2LPSW" display="DMT64M2LPSW"/>
    <hyperlink ref="B1507" r:id="rId_hyperlink_3012" tooltip="DMT64M2LPSW Datasheet" display="DMT64M2LPSW Datasheet"/>
    <hyperlink ref="A1508" r:id="rId_hyperlink_3013" tooltip="DMT64M8LCG" display="DMT64M8LCG"/>
    <hyperlink ref="B1508" r:id="rId_hyperlink_3014" tooltip="DMT64M8LCG Datasheet" display="DMT64M8LCG Datasheet"/>
    <hyperlink ref="A1509" r:id="rId_hyperlink_3015" tooltip="DMT64M8LSS" display="DMT64M8LSS"/>
    <hyperlink ref="B1509" r:id="rId_hyperlink_3016" tooltip="DMT64M8LSS Datasheet" display="DMT64M8LSS Datasheet"/>
    <hyperlink ref="A1510" r:id="rId_hyperlink_3017" tooltip="DMT67M8LCG" display="DMT67M8LCG"/>
    <hyperlink ref="B1510" r:id="rId_hyperlink_3018" tooltip="DMT67M8LCG Datasheet" display="DMT67M8LCG Datasheet"/>
    <hyperlink ref="A1511" r:id="rId_hyperlink_3019" tooltip="DMT67M8LCGQ" display="DMT67M8LCGQ"/>
    <hyperlink ref="B1511" r:id="rId_hyperlink_3020" tooltip="DMT67M8LCGQ Datasheet" display="DMT67M8LCGQ Datasheet"/>
    <hyperlink ref="A1512" r:id="rId_hyperlink_3021" tooltip="DMT67M8LK3" display="DMT67M8LK3"/>
    <hyperlink ref="B1512" r:id="rId_hyperlink_3022" tooltip="DMT67M8LK3 Datasheet" display="DMT67M8LK3 Datasheet"/>
    <hyperlink ref="A1513" r:id="rId_hyperlink_3023" tooltip="DMT67M8LPSW" display="DMT67M8LPSW"/>
    <hyperlink ref="B1513" r:id="rId_hyperlink_3024" tooltip="DMT67M8LPSW Datasheet" display="DMT67M8LPSW Datasheet"/>
    <hyperlink ref="A1514" r:id="rId_hyperlink_3025" tooltip="DMT67M8LSS" display="DMT67M8LSS"/>
    <hyperlink ref="B1514" r:id="rId_hyperlink_3026" tooltip="DMT67M8LSS Datasheet" display="DMT67M8LSS Datasheet"/>
    <hyperlink ref="A1515" r:id="rId_hyperlink_3027" tooltip="DMT68M8LFV" display="DMT68M8LFV"/>
    <hyperlink ref="B1515" r:id="rId_hyperlink_3028" tooltip="DMT68M8LFV Datasheet" display="DMT68M8LFV Datasheet"/>
    <hyperlink ref="A1516" r:id="rId_hyperlink_3029" tooltip="DMT68M8LPS" display="DMT68M8LPS"/>
    <hyperlink ref="B1516" r:id="rId_hyperlink_3030" tooltip="DMT68M8LPS Datasheet" display="DMT68M8LPS Datasheet"/>
    <hyperlink ref="A1517" r:id="rId_hyperlink_3031" tooltip="DMT68M8LSS" display="DMT68M8LSS"/>
    <hyperlink ref="B1517" r:id="rId_hyperlink_3032" tooltip="DMT68M8LSS Datasheet" display="DMT68M8LSS Datasheet"/>
    <hyperlink ref="A1518" r:id="rId_hyperlink_3033" tooltip="DMT69M5LCG" display="DMT69M5LCG"/>
    <hyperlink ref="B1518" r:id="rId_hyperlink_3034" tooltip="DMT69M5LCG Datasheet" display="DMT69M5LCG Datasheet"/>
    <hyperlink ref="A1519" r:id="rId_hyperlink_3035" tooltip="DMT69M5LFVW" display="DMT69M5LFVW"/>
    <hyperlink ref="B1519" r:id="rId_hyperlink_3036" tooltip="DMT69M5LFVW Datasheet" display="DMT69M5LFVW Datasheet"/>
    <hyperlink ref="A1520" r:id="rId_hyperlink_3037" tooltip="DMT69M5LFVWQ" display="DMT69M5LFVWQ"/>
    <hyperlink ref="B1520" r:id="rId_hyperlink_3038" tooltip="DMT69M5LFVWQ Datasheet" display="DMT69M5LFVWQ Datasheet"/>
    <hyperlink ref="A1521" r:id="rId_hyperlink_3039" tooltip="DMT69M5LH3" display="DMT69M5LH3"/>
    <hyperlink ref="B1521" r:id="rId_hyperlink_3040" tooltip="DMT69M5LH3 Datasheet" display="DMT69M5LH3 Datasheet"/>
    <hyperlink ref="A1522" r:id="rId_hyperlink_3041" tooltip="DMT69M8LFV" display="DMT69M8LFV"/>
    <hyperlink ref="B1522" r:id="rId_hyperlink_3042" tooltip="DMT69M8LFV Datasheet" display="DMT69M8LFV Datasheet"/>
    <hyperlink ref="A1523" r:id="rId_hyperlink_3043" tooltip="DMT69M9LPDW" display="DMT69M9LPDW"/>
    <hyperlink ref="B1523" r:id="rId_hyperlink_3044" tooltip="DMT69M9LPDW Datasheet" display="DMT69M9LPDW Datasheet"/>
    <hyperlink ref="A1524" r:id="rId_hyperlink_3045" tooltip="DMT8007LPSW" display="DMT8007LPSW"/>
    <hyperlink ref="B1524" r:id="rId_hyperlink_3046" tooltip="DMT8007LPSW Datasheet" display="DMT8007LPSW Datasheet"/>
    <hyperlink ref="A1525" r:id="rId_hyperlink_3047" tooltip="DMT8008LFG" display="DMT8008LFG"/>
    <hyperlink ref="B1525" r:id="rId_hyperlink_3048" tooltip="DMT8008LFG Datasheet" display="DMT8008LFG Datasheet"/>
    <hyperlink ref="A1526" r:id="rId_hyperlink_3049" tooltip="DMT8008LK3" display="DMT8008LK3"/>
    <hyperlink ref="B1526" r:id="rId_hyperlink_3050" tooltip="DMT8008LK3 Datasheet" display="DMT8008LK3 Datasheet"/>
    <hyperlink ref="A1527" r:id="rId_hyperlink_3051" tooltip="DMT8008LPS" display="DMT8008LPS"/>
    <hyperlink ref="B1527" r:id="rId_hyperlink_3052" tooltip="DMT8008LPS Datasheet" display="DMT8008LPS Datasheet"/>
    <hyperlink ref="A1528" r:id="rId_hyperlink_3053" tooltip="DMT8008LSS" display="DMT8008LSS"/>
    <hyperlink ref="B1528" r:id="rId_hyperlink_3054" tooltip="DMT8008LSS Datasheet" display="DMT8008LSS Datasheet"/>
    <hyperlink ref="A1529" r:id="rId_hyperlink_3055" tooltip="DMT8008SCT" display="DMT8008SCT"/>
    <hyperlink ref="B1529" r:id="rId_hyperlink_3056" tooltip="DMT8008SCT Datasheet" display="DMT8008SCT Datasheet"/>
    <hyperlink ref="A1530" r:id="rId_hyperlink_3057" tooltip="DMT8008SK3" display="DMT8008SK3"/>
    <hyperlink ref="B1530" r:id="rId_hyperlink_3058" tooltip="DMT8008SK3 Datasheet" display="DMT8008SK3 Datasheet"/>
    <hyperlink ref="A1531" r:id="rId_hyperlink_3059" tooltip="DMT8008SPS" display="DMT8008SPS"/>
    <hyperlink ref="B1531" r:id="rId_hyperlink_3060" tooltip="DMT8008SPS Datasheet" display="DMT8008SPS Datasheet"/>
    <hyperlink ref="A1532" r:id="rId_hyperlink_3061" tooltip="DMT8012LFG" display="DMT8012LFG"/>
    <hyperlink ref="B1532" r:id="rId_hyperlink_3062" tooltip="DMT8012LFG Datasheet" display="DMT8012LFG Datasheet"/>
    <hyperlink ref="A1533" r:id="rId_hyperlink_3063" tooltip="DMT8012LK3" display="DMT8012LK3"/>
    <hyperlink ref="B1533" r:id="rId_hyperlink_3064" tooltip="DMT8012LK3 Datasheet" display="DMT8012LK3 Datasheet"/>
    <hyperlink ref="A1534" r:id="rId_hyperlink_3065" tooltip="DMT8012LPS" display="DMT8012LPS"/>
    <hyperlink ref="B1534" r:id="rId_hyperlink_3066" tooltip="DMT8012LPS Datasheet" display="DMT8012LPS Datasheet"/>
    <hyperlink ref="A1535" r:id="rId_hyperlink_3067" tooltip="DMT8012LSS" display="DMT8012LSS"/>
    <hyperlink ref="B1535" r:id="rId_hyperlink_3068" tooltip="DMT8012LSS Datasheet" display="DMT8012LSS Datasheet"/>
    <hyperlink ref="A1536" r:id="rId_hyperlink_3069" tooltip="DMT8030LFDF" display="DMT8030LFDF"/>
    <hyperlink ref="B1536" r:id="rId_hyperlink_3070" tooltip="DMT8030LFDF Datasheet" display="DMT8030LFDF Datasheet"/>
    <hyperlink ref="A1537" r:id="rId_hyperlink_3071" tooltip="DMTH10H003SPSW" display="DMTH10H003SPSW"/>
    <hyperlink ref="B1537" r:id="rId_hyperlink_3072" tooltip="DMTH10H003SPSW Datasheet" display="DMTH10H003SPSW Datasheet"/>
    <hyperlink ref="A1538" r:id="rId_hyperlink_3073" tooltip="DMTH10H005LCT" display="DMTH10H005LCT"/>
    <hyperlink ref="B1538" r:id="rId_hyperlink_3074" tooltip="DMTH10H005LCT Datasheet" display="DMTH10H005LCT Datasheet"/>
    <hyperlink ref="A1539" r:id="rId_hyperlink_3075" tooltip="DMTH10H005SCT" display="DMTH10H005SCT"/>
    <hyperlink ref="B1539" r:id="rId_hyperlink_3076" tooltip="DMTH10H005SCT Datasheet" display="DMTH10H005SCT Datasheet"/>
    <hyperlink ref="A1540" r:id="rId_hyperlink_3077" tooltip="DMTH10H009LFG" display="DMTH10H009LFG"/>
    <hyperlink ref="B1540" r:id="rId_hyperlink_3078" tooltip="DMTH10H009LFG Datasheet" display="DMTH10H009LFG Datasheet"/>
    <hyperlink ref="A1541" r:id="rId_hyperlink_3079" tooltip="DMTH10H009LFGQ" display="DMTH10H009LFGQ"/>
    <hyperlink ref="B1541" r:id="rId_hyperlink_3080" tooltip="DMTH10H009LFGQ Datasheet" display="DMTH10H009LFGQ Datasheet"/>
    <hyperlink ref="A1542" r:id="rId_hyperlink_3081" tooltip="DMTH10H009LPS" display="DMTH10H009LPS"/>
    <hyperlink ref="B1542" r:id="rId_hyperlink_3082" tooltip="DMTH10H009LPS Datasheet" display="DMTH10H009LPS Datasheet"/>
    <hyperlink ref="A1543" r:id="rId_hyperlink_3083" tooltip="DMTH10H009LPSQ" display="DMTH10H009LPSQ"/>
    <hyperlink ref="B1543" r:id="rId_hyperlink_3084" tooltip="DMTH10H009LPSQ Datasheet" display="DMTH10H009LPSQ Datasheet"/>
    <hyperlink ref="A1544" r:id="rId_hyperlink_3085" tooltip="DMTH10H009SPS" display="DMTH10H009SPS"/>
    <hyperlink ref="B1544" r:id="rId_hyperlink_3086" tooltip="DMTH10H009SPS Datasheet" display="DMTH10H009SPS Datasheet"/>
    <hyperlink ref="A1545" r:id="rId_hyperlink_3087" tooltip="DMTH10H009SPSQ" display="DMTH10H009SPSQ"/>
    <hyperlink ref="B1545" r:id="rId_hyperlink_3088" tooltip="DMTH10H009SPSQ Datasheet" display="DMTH10H009SPSQ Datasheet"/>
    <hyperlink ref="A1546" r:id="rId_hyperlink_3089" tooltip="DMTH10H010LCT" display="DMTH10H010LCT"/>
    <hyperlink ref="B1546" r:id="rId_hyperlink_3090" tooltip="DMTH10H010LCT Datasheet" display="DMTH10H010LCT Datasheet"/>
    <hyperlink ref="A1547" r:id="rId_hyperlink_3091" tooltip="DMTH10H010LCTB" display="DMTH10H010LCTB"/>
    <hyperlink ref="B1547" r:id="rId_hyperlink_3092" tooltip="DMTH10H010LCTB Datasheet" display="DMTH10H010LCTB Datasheet"/>
    <hyperlink ref="A1548" r:id="rId_hyperlink_3093" tooltip="DMTH10H010LPS" display="DMTH10H010LPS"/>
    <hyperlink ref="B1548" r:id="rId_hyperlink_3094" tooltip="DMTH10H010LPS Datasheet" display="DMTH10H010LPS Datasheet"/>
    <hyperlink ref="A1549" r:id="rId_hyperlink_3095" tooltip="DMTH10H010SCT" display="DMTH10H010SCT"/>
    <hyperlink ref="B1549" r:id="rId_hyperlink_3096" tooltip="DMTH10H010SCT Datasheet" display="DMTH10H010SCT Datasheet"/>
    <hyperlink ref="A1550" r:id="rId_hyperlink_3097" tooltip="DMTH10H010SPS" display="DMTH10H010SPS"/>
    <hyperlink ref="B1550" r:id="rId_hyperlink_3098" tooltip="DMTH10H010SPS Datasheet" display="DMTH10H010SPS Datasheet"/>
    <hyperlink ref="A1551" r:id="rId_hyperlink_3099" tooltip="DMTH10H010SPSQ" display="DMTH10H010SPSQ"/>
    <hyperlink ref="B1551" r:id="rId_hyperlink_3100" tooltip="DMTH10H010SPSQ Datasheet" display="DMTH10H010SPSQ Datasheet"/>
    <hyperlink ref="A1552" r:id="rId_hyperlink_3101" tooltip="DMTH10H010SPSWQ" display="DMTH10H010SPSWQ"/>
    <hyperlink ref="B1552" r:id="rId_hyperlink_3102" tooltip="DMTH10H010SPSWQ Datasheet" display="DMTH10H010SPSWQ Datasheet"/>
    <hyperlink ref="A1553" r:id="rId_hyperlink_3103" tooltip="DMTH10H015LK3" display="DMTH10H015LK3"/>
    <hyperlink ref="B1553" r:id="rId_hyperlink_3104" tooltip="DMTH10H015LK3 Datasheet" display="DMTH10H015LK3 Datasheet"/>
    <hyperlink ref="A1554" r:id="rId_hyperlink_3105" tooltip="DMTH10H015LPS" display="DMTH10H015LPS"/>
    <hyperlink ref="B1554" r:id="rId_hyperlink_3106" tooltip="DMTH10H015LPS Datasheet" display="DMTH10H015LPS Datasheet"/>
    <hyperlink ref="A1555" r:id="rId_hyperlink_3107" tooltip="DMTH10H015LPSWQ" display="DMTH10H015LPSWQ"/>
    <hyperlink ref="B1555" r:id="rId_hyperlink_3108" tooltip="DMTH10H015LPSWQ Datasheet" display="DMTH10H015LPSWQ Datasheet"/>
    <hyperlink ref="A1556" r:id="rId_hyperlink_3109" tooltip="DMTH10H015SK3" display="DMTH10H015SK3"/>
    <hyperlink ref="B1556" r:id="rId_hyperlink_3110" tooltip="DMTH10H015SK3 Datasheet" display="DMTH10H015SK3 Datasheet"/>
    <hyperlink ref="A1557" r:id="rId_hyperlink_3111" tooltip="DMTH10H015SK3Q" display="DMTH10H015SK3Q"/>
    <hyperlink ref="B1557" r:id="rId_hyperlink_3112" tooltip="DMTH10H015SK3Q Datasheet" display="DMTH10H015SK3Q Datasheet"/>
    <hyperlink ref="A1558" r:id="rId_hyperlink_3113" tooltip="DMTH10H015SPS" display="DMTH10H015SPS"/>
    <hyperlink ref="B1558" r:id="rId_hyperlink_3114" tooltip="DMTH10H015SPS Datasheet" display="DMTH10H015SPS Datasheet"/>
    <hyperlink ref="A1559" r:id="rId_hyperlink_3115" tooltip="DMTH10H015SPSQ" display="DMTH10H015SPSQ"/>
    <hyperlink ref="B1559" r:id="rId_hyperlink_3116" tooltip="DMTH10H015SPSQ Datasheet" display="DMTH10H015SPSQ Datasheet"/>
    <hyperlink ref="A1560" r:id="rId_hyperlink_3117" tooltip="DMTH10H015SPSWQ" display="DMTH10H015SPSWQ"/>
    <hyperlink ref="B1560" r:id="rId_hyperlink_3118" tooltip="DMTH10H015SPSWQ Datasheet" display="DMTH10H015SPSWQ Datasheet"/>
    <hyperlink ref="A1561" r:id="rId_hyperlink_3119" tooltip="DMTH10H017LPD" display="DMTH10H017LPD"/>
    <hyperlink ref="B1561" r:id="rId_hyperlink_3120" tooltip="DMTH10H017LPD Datasheet" display="DMTH10H017LPD Datasheet"/>
    <hyperlink ref="A1562" r:id="rId_hyperlink_3121" tooltip="DMTH10H017LPDQ" display="DMTH10H017LPDQ"/>
    <hyperlink ref="B1562" r:id="rId_hyperlink_3122" tooltip="DMTH10H017LPDQ Datasheet" display="DMTH10H017LPDQ Datasheet"/>
    <hyperlink ref="A1563" r:id="rId_hyperlink_3123" tooltip="DMTH10H025LK3" display="DMTH10H025LK3"/>
    <hyperlink ref="B1563" r:id="rId_hyperlink_3124" tooltip="DMTH10H025LK3 Datasheet" display="DMTH10H025LK3 Datasheet"/>
    <hyperlink ref="A1564" r:id="rId_hyperlink_3125" tooltip="DMTH10H025LK3Q" display="DMTH10H025LK3Q"/>
    <hyperlink ref="B1564" r:id="rId_hyperlink_3126" tooltip="DMTH10H025LK3Q Datasheet" display="DMTH10H025LK3Q Datasheet"/>
    <hyperlink ref="A1565" r:id="rId_hyperlink_3127" tooltip="DMTH10H025LPDW" display="DMTH10H025LPDW"/>
    <hyperlink ref="B1565" r:id="rId_hyperlink_3128" tooltip="DMTH10H025LPDW Datasheet" display="DMTH10H025LPDW Datasheet"/>
    <hyperlink ref="A1566" r:id="rId_hyperlink_3129" tooltip="DMTH10H025LPDWQ" display="DMTH10H025LPDWQ"/>
    <hyperlink ref="B1566" r:id="rId_hyperlink_3130" tooltip="DMTH10H025LPDWQ Datasheet" display="DMTH10H025LPDWQ Datasheet"/>
    <hyperlink ref="A1567" r:id="rId_hyperlink_3131" tooltip="DMTH10H025LPS" display="DMTH10H025LPS"/>
    <hyperlink ref="B1567" r:id="rId_hyperlink_3132" tooltip="DMTH10H025LPS Datasheet" display="DMTH10H025LPS Datasheet"/>
    <hyperlink ref="A1568" r:id="rId_hyperlink_3133" tooltip="DMTH10H025LPSQ" display="DMTH10H025LPSQ"/>
    <hyperlink ref="B1568" r:id="rId_hyperlink_3134" tooltip="DMTH10H025LPSQ Datasheet" display="DMTH10H025LPSQ Datasheet"/>
    <hyperlink ref="A1569" r:id="rId_hyperlink_3135" tooltip="DMTH10H025LPSWQ" display="DMTH10H025LPSWQ"/>
    <hyperlink ref="B1569" r:id="rId_hyperlink_3136" tooltip="DMTH10H025LPSWQ Datasheet" display="DMTH10H025LPSWQ Datasheet"/>
    <hyperlink ref="A1570" r:id="rId_hyperlink_3137" tooltip="DMTH10H025SK3" display="DMTH10H025SK3"/>
    <hyperlink ref="B1570" r:id="rId_hyperlink_3138" tooltip="DMTH10H025SK3 Datasheet" display="DMTH10H025SK3 Datasheet"/>
    <hyperlink ref="A1571" r:id="rId_hyperlink_3139" tooltip="DMTH10H032LDVW" display="DMTH10H032LDVW"/>
    <hyperlink ref="B1571" r:id="rId_hyperlink_3140" tooltip="DMTH10H032LDVW Datasheet" display="DMTH10H032LDVW Datasheet"/>
    <hyperlink ref="A1572" r:id="rId_hyperlink_3141" tooltip="DMTH10H032LDVWQ" display="DMTH10H032LDVWQ"/>
    <hyperlink ref="B1572" r:id="rId_hyperlink_3142" tooltip="DMTH10H032LDVWQ Datasheet" display="DMTH10H032LDVWQ Datasheet"/>
    <hyperlink ref="A1573" r:id="rId_hyperlink_3143" tooltip="DMTH10H032LFVW" display="DMTH10H032LFVW"/>
    <hyperlink ref="B1573" r:id="rId_hyperlink_3144" tooltip="DMTH10H032LFVW Datasheet" display="DMTH10H032LFVW Datasheet"/>
    <hyperlink ref="A1574" r:id="rId_hyperlink_3145" tooltip="DMTH10H032LFVWQ" display="DMTH10H032LFVWQ"/>
    <hyperlink ref="B1574" r:id="rId_hyperlink_3146" tooltip="DMTH10H032LFVWQ Datasheet" display="DMTH10H032LFVWQ Datasheet"/>
    <hyperlink ref="A1575" r:id="rId_hyperlink_3147" tooltip="DMTH10H032LPDW" display="DMTH10H032LPDW"/>
    <hyperlink ref="B1575" r:id="rId_hyperlink_3148" tooltip="DMTH10H032LPDW Datasheet" display="DMTH10H032LPDW Datasheet"/>
    <hyperlink ref="A1576" r:id="rId_hyperlink_3149" tooltip="DMTH10H032LPDWQ" display="DMTH10H032LPDWQ"/>
    <hyperlink ref="B1576" r:id="rId_hyperlink_3150" tooltip="DMTH10H032LPDWQ Datasheet" display="DMTH10H032LPDWQ Datasheet"/>
    <hyperlink ref="A1577" r:id="rId_hyperlink_3151" tooltip="DMTH10H032LPSW" display="DMTH10H032LPSW"/>
    <hyperlink ref="B1577" r:id="rId_hyperlink_3152" tooltip="DMTH10H032LPSW Datasheet" display="DMTH10H032LPSW Datasheet"/>
    <hyperlink ref="A1578" r:id="rId_hyperlink_3153" tooltip="DMTH10H032LPSWQ" display="DMTH10H032LPSWQ"/>
    <hyperlink ref="B1578" r:id="rId_hyperlink_3154" tooltip="DMTH10H032LPSWQ Datasheet" display="DMTH10H032LPSWQ Datasheet"/>
    <hyperlink ref="A1579" r:id="rId_hyperlink_3155" tooltip="DMTH10H032SDVW" display="DMTH10H032SDVW"/>
    <hyperlink ref="B1579" r:id="rId_hyperlink_3156" tooltip="DMTH10H032SDVW Datasheet" display="DMTH10H032SDVW Datasheet"/>
    <hyperlink ref="A1580" r:id="rId_hyperlink_3157" tooltip="DMTH10H032SDVWQ" display="DMTH10H032SDVWQ"/>
    <hyperlink ref="B1580" r:id="rId_hyperlink_3158" tooltip="DMTH10H032SDVWQ Datasheet" display="DMTH10H032SDVWQ Datasheet"/>
    <hyperlink ref="A1581" r:id="rId_hyperlink_3159" tooltip="DMTH10H032SPSW" display="DMTH10H032SPSW"/>
    <hyperlink ref="B1581" r:id="rId_hyperlink_3160" tooltip="DMTH10H032SPSW Datasheet" display="DMTH10H032SPSW Datasheet"/>
    <hyperlink ref="A1582" r:id="rId_hyperlink_3161" tooltip="DMTH10H032SPSWQ" display="DMTH10H032SPSWQ"/>
    <hyperlink ref="B1582" r:id="rId_hyperlink_3162" tooltip="DMTH10H032SPSWQ Datasheet" display="DMTH10H032SPSWQ Datasheet"/>
    <hyperlink ref="A1583" r:id="rId_hyperlink_3163" tooltip="DMTH10H038SPDW" display="DMTH10H038SPDW"/>
    <hyperlink ref="B1583" r:id="rId_hyperlink_3164" tooltip="DMTH10H038SPDW Datasheet" display="DMTH10H038SPDW Datasheet"/>
    <hyperlink ref="A1584" r:id="rId_hyperlink_3165" tooltip="DMTH10H038SPDWQ" display="DMTH10H038SPDWQ"/>
    <hyperlink ref="B1584" r:id="rId_hyperlink_3166" tooltip="DMTH10H038SPDWQ Datasheet" display="DMTH10H038SPDWQ Datasheet"/>
    <hyperlink ref="A1585" r:id="rId_hyperlink_3167" tooltip="DMTH10H072LPS" display="DMTH10H072LPS"/>
    <hyperlink ref="B1585" r:id="rId_hyperlink_3168" tooltip="DMTH10H072LPS Datasheet" display="DMTH10H072LPS Datasheet"/>
    <hyperlink ref="A1586" r:id="rId_hyperlink_3169" tooltip="DMTH10H1M7STLW" display="DMTH10H1M7STLW"/>
    <hyperlink ref="B1586" r:id="rId_hyperlink_3170" tooltip="DMTH10H1M7STLW Datasheet" display="DMTH10H1M7STLW Datasheet"/>
    <hyperlink ref="A1587" r:id="rId_hyperlink_3171" tooltip="DMTH10H1M7STLWQ" display="DMTH10H1M7STLWQ"/>
    <hyperlink ref="B1587" r:id="rId_hyperlink_3172" tooltip="DMTH10H1M7STLWQ Datasheet" display="DMTH10H1M7STLWQ Datasheet"/>
    <hyperlink ref="A1588" r:id="rId_hyperlink_3173" tooltip="DMTH10H2M2LPSW" display="DMTH10H2M2LPSW"/>
    <hyperlink ref="B1588" r:id="rId_hyperlink_3174" tooltip="DMTH10H2M2LPSW Datasheet" display="DMTH10H2M2LPSW Datasheet"/>
    <hyperlink ref="A1589" r:id="rId_hyperlink_3175" tooltip="DMTH10H2M2LPSWQ" display="DMTH10H2M2LPSWQ"/>
    <hyperlink ref="B1589" r:id="rId_hyperlink_3176" tooltip="DMTH10H2M2LPSWQ Datasheet" display="DMTH10H2M2LPSWQ Datasheet"/>
    <hyperlink ref="A1590" r:id="rId_hyperlink_3177" tooltip="DMTH10H2M5STLW" display="DMTH10H2M5STLW"/>
    <hyperlink ref="B1590" r:id="rId_hyperlink_3178" tooltip="DMTH10H2M5STLW Datasheet" display="DMTH10H2M5STLW Datasheet"/>
    <hyperlink ref="A1591" r:id="rId_hyperlink_3179" tooltip="DMTH10H2M5STLWQ" display="DMTH10H2M5STLWQ"/>
    <hyperlink ref="B1591" r:id="rId_hyperlink_3180" tooltip="DMTH10H2M5STLWQ Datasheet" display="DMTH10H2M5STLWQ Datasheet"/>
    <hyperlink ref="A1592" r:id="rId_hyperlink_3181" tooltip="DMTH10H4M5LPS" display="DMTH10H4M5LPS"/>
    <hyperlink ref="B1592" r:id="rId_hyperlink_3182" tooltip="DMTH10H4M5LPS Datasheet" display="DMTH10H4M5LPS Datasheet"/>
    <hyperlink ref="A1593" r:id="rId_hyperlink_3183" tooltip="DMTH10H4M5LPSW" display="DMTH10H4M5LPSW"/>
    <hyperlink ref="B1593" r:id="rId_hyperlink_3184" tooltip="DMTH10H4M5LPSW Datasheet" display="DMTH10H4M5LPSW Datasheet"/>
    <hyperlink ref="A1594" r:id="rId_hyperlink_3185" tooltip="DMTH10H4M5LPSWQ" display="DMTH10H4M5LPSWQ"/>
    <hyperlink ref="B1594" r:id="rId_hyperlink_3186" tooltip="DMTH10H4M5LPSWQ Datasheet" display="DMTH10H4M5LPSWQ Datasheet"/>
    <hyperlink ref="A1595" r:id="rId_hyperlink_3187" tooltip="DMTH10H4M6SPS" display="DMTH10H4M6SPS"/>
    <hyperlink ref="B1595" r:id="rId_hyperlink_3188" tooltip="DMTH10H4M6SPS Datasheet" display="DMTH10H4M6SPS Datasheet"/>
    <hyperlink ref="A1596" r:id="rId_hyperlink_3189" tooltip="DMTH10H4M6SPSW" display="DMTH10H4M6SPSW"/>
    <hyperlink ref="B1596" r:id="rId_hyperlink_3190" tooltip="DMTH10H4M6SPSW Datasheet" display="DMTH10H4M6SPSW Datasheet"/>
    <hyperlink ref="A1597" r:id="rId_hyperlink_3191" tooltip="DMTH10H4M6SPSWQ" display="DMTH10H4M6SPSWQ"/>
    <hyperlink ref="B1597" r:id="rId_hyperlink_3192" tooltip="DMTH10H4M6SPSWQ Datasheet" display="DMTH10H4M6SPSWQ Datasheet"/>
    <hyperlink ref="A1598" r:id="rId_hyperlink_3193" tooltip="DMTH12H007SK3" display="DMTH12H007SK3"/>
    <hyperlink ref="B1598" r:id="rId_hyperlink_3194" tooltip="DMTH12H007SK3 Datasheet" display="DMTH12H007SK3 Datasheet"/>
    <hyperlink ref="A1599" r:id="rId_hyperlink_3195" tooltip="DMTH12H007SPS" display="DMTH12H007SPS"/>
    <hyperlink ref="B1599" r:id="rId_hyperlink_3196" tooltip="DMTH12H007SPS Datasheet" display="DMTH12H007SPS Datasheet"/>
    <hyperlink ref="A1600" r:id="rId_hyperlink_3197" tooltip="DMTH12H007SPSW" display="DMTH12H007SPSW"/>
    <hyperlink ref="B1600" r:id="rId_hyperlink_3198" tooltip="DMTH12H007SPSW Datasheet" display="DMTH12H007SPSW Datasheet"/>
    <hyperlink ref="A1601" r:id="rId_hyperlink_3199" tooltip="DMTH12H007SPSWQ" display="DMTH12H007SPSWQ"/>
    <hyperlink ref="B1601" r:id="rId_hyperlink_3200" tooltip="DMTH12H007SPSWQ Datasheet" display="DMTH12H007SPSWQ Datasheet"/>
    <hyperlink ref="A1602" r:id="rId_hyperlink_3201" tooltip="DMTH15H017LPSW" display="DMTH15H017LPSW"/>
    <hyperlink ref="B1602" r:id="rId_hyperlink_3202" tooltip="DMTH15H017LPSW Datasheet" display="DMTH15H017LPSW Datasheet"/>
    <hyperlink ref="A1603" r:id="rId_hyperlink_3203" tooltip="DMTH15H017LPSWQ" display="DMTH15H017LPSWQ"/>
    <hyperlink ref="B1603" r:id="rId_hyperlink_3204" tooltip="DMTH15H017LPSWQ Datasheet" display="DMTH15H017LPSWQ Datasheet"/>
    <hyperlink ref="A1604" r:id="rId_hyperlink_3205" tooltip="DMTH15H017SPS" display="DMTH15H017SPS"/>
    <hyperlink ref="B1604" r:id="rId_hyperlink_3206" tooltip="DMTH15H017SPS Datasheet" display="DMTH15H017SPS Datasheet"/>
    <hyperlink ref="A1605" r:id="rId_hyperlink_3207" tooltip="DMTH15H017SPSW" display="DMTH15H017SPSW"/>
    <hyperlink ref="B1605" r:id="rId_hyperlink_3208" tooltip="DMTH15H017SPSW Datasheet" display="DMTH15H017SPSW Datasheet"/>
    <hyperlink ref="A1606" r:id="rId_hyperlink_3209" tooltip="DMTH15H017SPSWQ" display="DMTH15H017SPSWQ"/>
    <hyperlink ref="B1606" r:id="rId_hyperlink_3210" tooltip="DMTH15H017SPSWQ Datasheet" display="DMTH15H017SPSWQ Datasheet"/>
    <hyperlink ref="A1607" r:id="rId_hyperlink_3211" tooltip="DMTH15H053SPSW" display="DMTH15H053SPSW"/>
    <hyperlink ref="B1607" r:id="rId_hyperlink_3212" tooltip="DMTH15H053SPSW Datasheet" display="DMTH15H053SPSW Datasheet"/>
    <hyperlink ref="A1608" r:id="rId_hyperlink_3213" tooltip="DMTH15H053SPSWQ" display="DMTH15H053SPSWQ"/>
    <hyperlink ref="B1608" r:id="rId_hyperlink_3214" tooltip="DMTH15H053SPSWQ Datasheet" display="DMTH15H053SPSWQ Datasheet"/>
    <hyperlink ref="A1609" r:id="rId_hyperlink_3215" tooltip="DMTH3002LK3" display="DMTH3002LK3"/>
    <hyperlink ref="B1609" r:id="rId_hyperlink_3216" tooltip="DMTH3002LK3 Datasheet" display="DMTH3002LK3 Datasheet"/>
    <hyperlink ref="A1610" r:id="rId_hyperlink_3217" tooltip="DMTH3002LPS" display="DMTH3002LPS"/>
    <hyperlink ref="B1610" r:id="rId_hyperlink_3218" tooltip="DMTH3002LPS Datasheet" display="DMTH3002LPS Datasheet"/>
    <hyperlink ref="A1611" r:id="rId_hyperlink_3219" tooltip="DMTH3004LFG" display="DMTH3004LFG"/>
    <hyperlink ref="B1611" r:id="rId_hyperlink_3220" tooltip="DMTH3004LFG Datasheet" display="DMTH3004LFG Datasheet"/>
    <hyperlink ref="A1612" r:id="rId_hyperlink_3221" tooltip="DMTH3004LFGQ" display="DMTH3004LFGQ"/>
    <hyperlink ref="B1612" r:id="rId_hyperlink_3222" tooltip="DMTH3004LFGQ Datasheet" display="DMTH3004LFGQ Datasheet"/>
    <hyperlink ref="A1613" r:id="rId_hyperlink_3223" tooltip="DMTH3004LK3" display="DMTH3004LK3"/>
    <hyperlink ref="B1613" r:id="rId_hyperlink_3224" tooltip="DMTH3004LK3 Datasheet" display="DMTH3004LK3 Datasheet"/>
    <hyperlink ref="A1614" r:id="rId_hyperlink_3225" tooltip="DMTH3004LK3Q" display="DMTH3004LK3Q"/>
    <hyperlink ref="B1614" r:id="rId_hyperlink_3226" tooltip="DMTH3004LK3Q Datasheet" display="DMTH3004LK3Q Datasheet"/>
    <hyperlink ref="A1615" r:id="rId_hyperlink_3227" tooltip="DMTH3004LPS" display="DMTH3004LPS"/>
    <hyperlink ref="B1615" r:id="rId_hyperlink_3228" tooltip="DMTH3004LPS Datasheet" display="DMTH3004LPS Datasheet"/>
    <hyperlink ref="A1616" r:id="rId_hyperlink_3229" tooltip="DMTH3004LPSQ" display="DMTH3004LPSQ"/>
    <hyperlink ref="B1616" r:id="rId_hyperlink_3230" tooltip="DMTH3004LPSQ Datasheet" display="DMTH3004LPSQ Datasheet"/>
    <hyperlink ref="A1617" r:id="rId_hyperlink_3231" tooltip="DMTH31M7LPSQ" display="DMTH31M7LPSQ"/>
    <hyperlink ref="B1617" r:id="rId_hyperlink_3232" tooltip="DMTH31M7LPSQ Datasheet" display="DMTH31M7LPSQ Datasheet"/>
    <hyperlink ref="A1618" r:id="rId_hyperlink_3233" tooltip="DMTH32M5LPS" display="DMTH32M5LPS"/>
    <hyperlink ref="B1618" r:id="rId_hyperlink_3234" tooltip="DMTH32M5LPS Datasheet" display="DMTH32M5LPS Datasheet"/>
    <hyperlink ref="A1619" r:id="rId_hyperlink_3235" tooltip="DMTH32M5LPSQ" display="DMTH32M5LPSQ"/>
    <hyperlink ref="B1619" r:id="rId_hyperlink_3236" tooltip="DMTH32M5LPSQ Datasheet" display="DMTH32M5LPSQ Datasheet"/>
    <hyperlink ref="A1620" r:id="rId_hyperlink_3237" tooltip="DMTH4001STLW" display="DMTH4001STLW"/>
    <hyperlink ref="B1620" r:id="rId_hyperlink_3238" tooltip="DMTH4001STLW Datasheet" display="DMTH4001STLW Datasheet"/>
    <hyperlink ref="A1621" r:id="rId_hyperlink_3239" tooltip="DMTH4001STLWQ" display="DMTH4001STLWQ"/>
    <hyperlink ref="B1621" r:id="rId_hyperlink_3240" tooltip="DMTH4001STLWQ Datasheet" display="DMTH4001STLWQ Datasheet"/>
    <hyperlink ref="A1622" r:id="rId_hyperlink_3241" tooltip="DMTH4002SCTB" display="DMTH4002SCTB"/>
    <hyperlink ref="B1622" r:id="rId_hyperlink_3242" tooltip="DMTH4002SCTB Datasheet" display="DMTH4002SCTB Datasheet"/>
    <hyperlink ref="A1623" r:id="rId_hyperlink_3243" tooltip="DMTH4002SCTBQ" display="DMTH4002SCTBQ"/>
    <hyperlink ref="B1623" r:id="rId_hyperlink_3244" tooltip="DMTH4002SCTBQ Datasheet" display="DMTH4002SCTBQ Datasheet"/>
    <hyperlink ref="A1624" r:id="rId_hyperlink_3245" tooltip="DMTH4004LK3" display="DMTH4004LK3"/>
    <hyperlink ref="B1624" r:id="rId_hyperlink_3246" tooltip="DMTH4004LK3 Datasheet" display="DMTH4004LK3 Datasheet"/>
    <hyperlink ref="A1625" r:id="rId_hyperlink_3247" tooltip="DMTH4004LK3Q" display="DMTH4004LK3Q"/>
    <hyperlink ref="B1625" r:id="rId_hyperlink_3248" tooltip="DMTH4004LK3Q Datasheet" display="DMTH4004LK3Q Datasheet"/>
    <hyperlink ref="A1626" r:id="rId_hyperlink_3249" tooltip="DMTH4004LPS" display="DMTH4004LPS"/>
    <hyperlink ref="B1626" r:id="rId_hyperlink_3250" tooltip="DMTH4004LPS Datasheet" display="DMTH4004LPS Datasheet"/>
    <hyperlink ref="A1627" r:id="rId_hyperlink_3251" tooltip="DMTH4004LPSQ" display="DMTH4004LPSQ"/>
    <hyperlink ref="B1627" r:id="rId_hyperlink_3252" tooltip="DMTH4004LPSQ Datasheet" display="DMTH4004LPSQ Datasheet"/>
    <hyperlink ref="A1628" r:id="rId_hyperlink_3253" tooltip="DMTH4004LPSWQ" display="DMTH4004LPSWQ"/>
    <hyperlink ref="B1628" r:id="rId_hyperlink_3254" tooltip="DMTH4004LPSWQ Datasheet" display="DMTH4004LPSWQ Datasheet"/>
    <hyperlink ref="A1629" r:id="rId_hyperlink_3255" tooltip="DMTH4004SCTB" display="DMTH4004SCTB"/>
    <hyperlink ref="B1629" r:id="rId_hyperlink_3256" tooltip="DMTH4004SCTB Datasheet" display="DMTH4004SCTB Datasheet"/>
    <hyperlink ref="A1630" r:id="rId_hyperlink_3257" tooltip="DMTH4004SCTBQ" display="DMTH4004SCTBQ"/>
    <hyperlink ref="B1630" r:id="rId_hyperlink_3258" tooltip="DMTH4004SCTBQ Datasheet" display="DMTH4004SCTBQ Datasheet"/>
    <hyperlink ref="A1631" r:id="rId_hyperlink_3259" tooltip="DMTH4004SK3" display="DMTH4004SK3"/>
    <hyperlink ref="B1631" r:id="rId_hyperlink_3260" tooltip="DMTH4004SK3 Datasheet" display="DMTH4004SK3 Datasheet"/>
    <hyperlink ref="A1632" r:id="rId_hyperlink_3261" tooltip="DMTH4004SK3Q" display="DMTH4004SK3Q"/>
    <hyperlink ref="B1632" r:id="rId_hyperlink_3262" tooltip="DMTH4004SK3Q Datasheet" display="DMTH4004SK3Q Datasheet"/>
    <hyperlink ref="A1633" r:id="rId_hyperlink_3263" tooltip="DMTH4004SPS" display="DMTH4004SPS"/>
    <hyperlink ref="B1633" r:id="rId_hyperlink_3264" tooltip="DMTH4004SPS Datasheet" display="DMTH4004SPS Datasheet"/>
    <hyperlink ref="A1634" r:id="rId_hyperlink_3265" tooltip="DMTH4004SPSQ" display="DMTH4004SPSQ"/>
    <hyperlink ref="B1634" r:id="rId_hyperlink_3266" tooltip="DMTH4004SPSQ Datasheet" display="DMTH4004SPSQ Datasheet"/>
    <hyperlink ref="A1635" r:id="rId_hyperlink_3267" tooltip="DMTH4004SPSWQ" display="DMTH4004SPSWQ"/>
    <hyperlink ref="B1635" r:id="rId_hyperlink_3268" tooltip="DMTH4004SPSWQ Datasheet" display="DMTH4004SPSWQ Datasheet"/>
    <hyperlink ref="A1636" r:id="rId_hyperlink_3269" tooltip="DMTH4005SCT" display="DMTH4005SCT"/>
    <hyperlink ref="B1636" r:id="rId_hyperlink_3270" tooltip="DMTH4005SCT Datasheet" display="DMTH4005SCT Datasheet"/>
    <hyperlink ref="A1637" r:id="rId_hyperlink_3271" tooltip="DMTH4005SK3" display="DMTH4005SK3"/>
    <hyperlink ref="B1637" r:id="rId_hyperlink_3272" tooltip="DMTH4005SK3 Datasheet" display="DMTH4005SK3 Datasheet"/>
    <hyperlink ref="A1638" r:id="rId_hyperlink_3273" tooltip="DMTH4005SK3Q" display="DMTH4005SK3Q"/>
    <hyperlink ref="B1638" r:id="rId_hyperlink_3274" tooltip="DMTH4005SK3Q Datasheet" display="DMTH4005SK3Q Datasheet"/>
    <hyperlink ref="A1639" r:id="rId_hyperlink_3275" tooltip="DMTH4005SPS" display="DMTH4005SPS"/>
    <hyperlink ref="B1639" r:id="rId_hyperlink_3276" tooltip="DMTH4005SPS Datasheet" display="DMTH4005SPS Datasheet"/>
    <hyperlink ref="A1640" r:id="rId_hyperlink_3277" tooltip="DMTH4005SPSQ" display="DMTH4005SPSQ"/>
    <hyperlink ref="B1640" r:id="rId_hyperlink_3278" tooltip="DMTH4005SPSQ Datasheet" display="DMTH4005SPSQ Datasheet"/>
    <hyperlink ref="A1641" r:id="rId_hyperlink_3279" tooltip="DMTH4005SPSWQ" display="DMTH4005SPSWQ"/>
    <hyperlink ref="B1641" r:id="rId_hyperlink_3280" tooltip="DMTH4005SPSWQ Datasheet" display="DMTH4005SPSWQ Datasheet"/>
    <hyperlink ref="A1642" r:id="rId_hyperlink_3281" tooltip="DMTH4007LK3" display="DMTH4007LK3"/>
    <hyperlink ref="B1642" r:id="rId_hyperlink_3282" tooltip="DMTH4007LK3 Datasheet" display="DMTH4007LK3 Datasheet"/>
    <hyperlink ref="A1643" r:id="rId_hyperlink_3283" tooltip="DMTH4007LK3Q" display="DMTH4007LK3Q"/>
    <hyperlink ref="B1643" r:id="rId_hyperlink_3284" tooltip="DMTH4007LK3Q Datasheet" display="DMTH4007LK3Q Datasheet"/>
    <hyperlink ref="A1644" r:id="rId_hyperlink_3285" tooltip="DMTH4007LPS" display="DMTH4007LPS"/>
    <hyperlink ref="B1644" r:id="rId_hyperlink_3286" tooltip="DMTH4007LPS Datasheet" display="DMTH4007LPS Datasheet"/>
    <hyperlink ref="A1645" r:id="rId_hyperlink_3287" tooltip="DMTH4007LPSQ" display="DMTH4007LPSQ"/>
    <hyperlink ref="B1645" r:id="rId_hyperlink_3288" tooltip="DMTH4007LPSQ Datasheet" display="DMTH4007LPSQ Datasheet"/>
    <hyperlink ref="A1646" r:id="rId_hyperlink_3289" tooltip="DMTH4007LPSWQ" display="DMTH4007LPSWQ"/>
    <hyperlink ref="B1646" r:id="rId_hyperlink_3290" tooltip="DMTH4007LPSWQ Datasheet" display="DMTH4007LPSWQ Datasheet"/>
    <hyperlink ref="A1647" r:id="rId_hyperlink_3291" tooltip="DMTH4007SK3" display="DMTH4007SK3"/>
    <hyperlink ref="B1647" r:id="rId_hyperlink_3292" tooltip="DMTH4007SK3 Datasheet" display="DMTH4007SK3 Datasheet"/>
    <hyperlink ref="A1648" r:id="rId_hyperlink_3293" tooltip="DMTH4007SPD" display="DMTH4007SPD"/>
    <hyperlink ref="B1648" r:id="rId_hyperlink_3294" tooltip="DMTH4007SPD Datasheet" display="DMTH4007SPD Datasheet"/>
    <hyperlink ref="A1649" r:id="rId_hyperlink_3295" tooltip="DMTH4007SPDQ" display="DMTH4007SPDQ"/>
    <hyperlink ref="B1649" r:id="rId_hyperlink_3296" tooltip="DMTH4007SPDQ Datasheet" display="DMTH4007SPDQ Datasheet"/>
    <hyperlink ref="A1650" r:id="rId_hyperlink_3297" tooltip="DMTH4007SPDWQ" display="DMTH4007SPDWQ"/>
    <hyperlink ref="B1650" r:id="rId_hyperlink_3298" tooltip="DMTH4007SPDWQ Datasheet" display="DMTH4007SPDWQ Datasheet"/>
    <hyperlink ref="A1651" r:id="rId_hyperlink_3299" tooltip="DMTH4007SPS" display="DMTH4007SPS"/>
    <hyperlink ref="B1651" r:id="rId_hyperlink_3300" tooltip="DMTH4007SPS Datasheet" display="DMTH4007SPS Datasheet"/>
    <hyperlink ref="A1652" r:id="rId_hyperlink_3301" tooltip="DMTH4007SPSQ" display="DMTH4007SPSQ"/>
    <hyperlink ref="B1652" r:id="rId_hyperlink_3302" tooltip="DMTH4007SPSQ Datasheet" display="DMTH4007SPSQ Datasheet"/>
    <hyperlink ref="A1653" r:id="rId_hyperlink_3303" tooltip="DMTH4007SPSWQ" display="DMTH4007SPSWQ"/>
    <hyperlink ref="B1653" r:id="rId_hyperlink_3304" tooltip="DMTH4007SPSWQ Datasheet" display="DMTH4007SPSWQ Datasheet"/>
    <hyperlink ref="A1654" r:id="rId_hyperlink_3305" tooltip="DMTH4008LFDFW" display="DMTH4008LFDFW"/>
    <hyperlink ref="B1654" r:id="rId_hyperlink_3306" tooltip="DMTH4008LFDFW Datasheet" display="DMTH4008LFDFW Datasheet"/>
    <hyperlink ref="A1655" r:id="rId_hyperlink_3307" tooltip="DMTH4008LFDFWQ" display="DMTH4008LFDFWQ"/>
    <hyperlink ref="B1655" r:id="rId_hyperlink_3308" tooltip="DMTH4008LFDFWQ Datasheet" display="DMTH4008LFDFWQ Datasheet"/>
    <hyperlink ref="A1656" r:id="rId_hyperlink_3309" tooltip="DMTH4008LPDW" display="DMTH4008LPDW"/>
    <hyperlink ref="B1656" r:id="rId_hyperlink_3310" tooltip="DMTH4008LPDW Datasheet" display="DMTH4008LPDW Datasheet"/>
    <hyperlink ref="A1657" r:id="rId_hyperlink_3311" tooltip="DMTH4008LPDWQ" display="DMTH4008LPDWQ"/>
    <hyperlink ref="B1657" r:id="rId_hyperlink_3312" tooltip="DMTH4008LPDWQ Datasheet" display="DMTH4008LPDWQ Datasheet"/>
    <hyperlink ref="A1658" r:id="rId_hyperlink_3313" tooltip="DMTH4008LPS" display="DMTH4008LPS"/>
    <hyperlink ref="B1658" r:id="rId_hyperlink_3314" tooltip="DMTH4008LPS Datasheet" display="DMTH4008LPS Datasheet"/>
    <hyperlink ref="A1659" r:id="rId_hyperlink_3315" tooltip="DMTH4008LPSQ" display="DMTH4008LPSQ"/>
    <hyperlink ref="B1659" r:id="rId_hyperlink_3316" tooltip="DMTH4008LPSQ Datasheet" display="DMTH4008LPSQ Datasheet"/>
    <hyperlink ref="A1660" r:id="rId_hyperlink_3317" tooltip="DMTH4008LPSWQ" display="DMTH4008LPSWQ"/>
    <hyperlink ref="B1660" r:id="rId_hyperlink_3318" tooltip="DMTH4008LPSWQ Datasheet" display="DMTH4008LPSWQ Datasheet"/>
    <hyperlink ref="A1661" r:id="rId_hyperlink_3319" tooltip="DMTH4011SPD" display="DMTH4011SPD"/>
    <hyperlink ref="B1661" r:id="rId_hyperlink_3320" tooltip="DMTH4011SPD Datasheet" display="DMTH4011SPD Datasheet"/>
    <hyperlink ref="A1662" r:id="rId_hyperlink_3321" tooltip="DMTH4011SPDQ" display="DMTH4011SPDQ"/>
    <hyperlink ref="B1662" r:id="rId_hyperlink_3322" tooltip="DMTH4011SPDQ Datasheet" display="DMTH4011SPDQ Datasheet"/>
    <hyperlink ref="A1663" r:id="rId_hyperlink_3323" tooltip="DMTH4011SPDWQ" display="DMTH4011SPDWQ"/>
    <hyperlink ref="B1663" r:id="rId_hyperlink_3324" tooltip="DMTH4011SPDWQ Datasheet" display="DMTH4011SPDWQ Datasheet"/>
    <hyperlink ref="A1664" r:id="rId_hyperlink_3325" tooltip="DMTH4014LDVW" display="DMTH4014LDVW"/>
    <hyperlink ref="B1664" r:id="rId_hyperlink_3326" tooltip="DMTH4014LDVW Datasheet" display="DMTH4014LDVW Datasheet"/>
    <hyperlink ref="A1665" r:id="rId_hyperlink_3327" tooltip="DMTH4014LDVWQ" display="DMTH4014LDVWQ"/>
    <hyperlink ref="B1665" r:id="rId_hyperlink_3328" tooltip="DMTH4014LDVWQ Datasheet" display="DMTH4014LDVWQ Datasheet"/>
    <hyperlink ref="A1666" r:id="rId_hyperlink_3329" tooltip="DMTH4014LFVW" display="DMTH4014LFVW"/>
    <hyperlink ref="B1666" r:id="rId_hyperlink_3330" tooltip="DMTH4014LFVW Datasheet" display="DMTH4014LFVW Datasheet"/>
    <hyperlink ref="A1667" r:id="rId_hyperlink_3331" tooltip="DMTH4014LFVWQ" display="DMTH4014LFVWQ"/>
    <hyperlink ref="B1667" r:id="rId_hyperlink_3332" tooltip="DMTH4014LFVWQ Datasheet" display="DMTH4014LFVWQ Datasheet"/>
    <hyperlink ref="A1668" r:id="rId_hyperlink_3333" tooltip="DMTH4014LPD" display="DMTH4014LPD"/>
    <hyperlink ref="B1668" r:id="rId_hyperlink_3334" tooltip="DMTH4014LPD Datasheet" display="DMTH4014LPD Datasheet"/>
    <hyperlink ref="A1669" r:id="rId_hyperlink_3335" tooltip="DMTH4014LPDQ" display="DMTH4014LPDQ"/>
    <hyperlink ref="B1669" r:id="rId_hyperlink_3336" tooltip="DMTH4014LPDQ Datasheet" display="DMTH4014LPDQ Datasheet"/>
    <hyperlink ref="A1670" r:id="rId_hyperlink_3337" tooltip="DMTH4014LPDWQ" display="DMTH4014LPDWQ"/>
    <hyperlink ref="B1670" r:id="rId_hyperlink_3338" tooltip="DMTH4014LPDWQ Datasheet" display="DMTH4014LPDWQ Datasheet"/>
    <hyperlink ref="A1671" r:id="rId_hyperlink_3339" tooltip="DMTH4014LPSW" display="DMTH4014LPSW"/>
    <hyperlink ref="B1671" r:id="rId_hyperlink_3340" tooltip="DMTH4014LPSW Datasheet" display="DMTH4014LPSW Datasheet"/>
    <hyperlink ref="A1672" r:id="rId_hyperlink_3341" tooltip="DMTH4014LPSWQ" display="DMTH4014LPSWQ"/>
    <hyperlink ref="B1672" r:id="rId_hyperlink_3342" tooltip="DMTH4014LPSWQ Datasheet" display="DMTH4014LPSWQ Datasheet"/>
    <hyperlink ref="A1673" r:id="rId_hyperlink_3343" tooltip="DMTH4014SPSW" display="DMTH4014SPSW"/>
    <hyperlink ref="B1673" r:id="rId_hyperlink_3344" tooltip="DMTH4014SPSW Datasheet" display="DMTH4014SPSW Datasheet"/>
    <hyperlink ref="A1674" r:id="rId_hyperlink_3345" tooltip="DMTH4014SPSWQ" display="DMTH4014SPSWQ"/>
    <hyperlink ref="B1674" r:id="rId_hyperlink_3346" tooltip="DMTH4014SPSWQ Datasheet" display="DMTH4014SPSWQ Datasheet"/>
    <hyperlink ref="A1675" r:id="rId_hyperlink_3347" tooltip="DMTH41M2SPS" display="DMTH41M2SPS"/>
    <hyperlink ref="B1675" r:id="rId_hyperlink_3348" tooltip="DMTH41M2SPS Datasheet" display="DMTH41M2SPS Datasheet"/>
    <hyperlink ref="A1676" r:id="rId_hyperlink_3349" tooltip="DMTH41M2SPSQ" display="DMTH41M2SPSQ"/>
    <hyperlink ref="B1676" r:id="rId_hyperlink_3350" tooltip="DMTH41M2SPSQ Datasheet" display="DMTH41M2SPSQ Datasheet"/>
    <hyperlink ref="A1677" r:id="rId_hyperlink_3351" tooltip="DMTH41M8SPS" display="DMTH41M8SPS"/>
    <hyperlink ref="B1677" r:id="rId_hyperlink_3352" tooltip="DMTH41M8SPS Datasheet" display="DMTH41M8SPS Datasheet"/>
    <hyperlink ref="A1678" r:id="rId_hyperlink_3353" tooltip="DMTH41M8SPSQ" display="DMTH41M8SPSQ"/>
    <hyperlink ref="B1678" r:id="rId_hyperlink_3354" tooltip="DMTH41M8SPSQ Datasheet" display="DMTH41M8SPSQ Datasheet"/>
    <hyperlink ref="A1679" r:id="rId_hyperlink_3355" tooltip="DMTH42M4SPS" display="DMTH42M4SPS"/>
    <hyperlink ref="B1679" r:id="rId_hyperlink_3356" tooltip="DMTH42M4SPS Datasheet" display="DMTH42M4SPS Datasheet"/>
    <hyperlink ref="A1680" r:id="rId_hyperlink_3357" tooltip="DMTH42M4SPSQ" display="DMTH42M4SPSQ"/>
    <hyperlink ref="B1680" r:id="rId_hyperlink_3358" tooltip="DMTH42M4SPSQ Datasheet" display="DMTH42M4SPSQ Datasheet"/>
    <hyperlink ref="A1681" r:id="rId_hyperlink_3359" tooltip="DMTH43M7LFG" display="DMTH43M7LFG"/>
    <hyperlink ref="B1681" r:id="rId_hyperlink_3360" tooltip="DMTH43M7LFG Datasheet" display="DMTH43M7LFG Datasheet"/>
    <hyperlink ref="A1682" r:id="rId_hyperlink_3361" tooltip="DMTH43M7LFGQ" display="DMTH43M7LFGQ"/>
    <hyperlink ref="B1682" r:id="rId_hyperlink_3362" tooltip="DMTH43M7LFGQ Datasheet" display="DMTH43M7LFGQ Datasheet"/>
    <hyperlink ref="A1683" r:id="rId_hyperlink_3363" tooltip="DMTH43M8LFG" display="DMTH43M8LFG"/>
    <hyperlink ref="B1683" r:id="rId_hyperlink_3364" tooltip="DMTH43M8LFG Datasheet" display="DMTH43M8LFG Datasheet"/>
    <hyperlink ref="A1684" r:id="rId_hyperlink_3365" tooltip="DMTH43M8LFGQ" display="DMTH43M8LFGQ"/>
    <hyperlink ref="B1684" r:id="rId_hyperlink_3366" tooltip="DMTH43M8LFGQ Datasheet" display="DMTH43M8LFGQ Datasheet"/>
    <hyperlink ref="A1685" r:id="rId_hyperlink_3367" tooltip="DMTH43M8LFVW" display="DMTH43M8LFVW"/>
    <hyperlink ref="B1685" r:id="rId_hyperlink_3368" tooltip="DMTH43M8LFVW Datasheet" display="DMTH43M8LFVW Datasheet"/>
    <hyperlink ref="A1686" r:id="rId_hyperlink_3369" tooltip="DMTH43M8LFVWQ" display="DMTH43M8LFVWQ"/>
    <hyperlink ref="B1686" r:id="rId_hyperlink_3370" tooltip="DMTH43M8LFVWQ Datasheet" display="DMTH43M8LFVWQ Datasheet"/>
    <hyperlink ref="A1687" r:id="rId_hyperlink_3371" tooltip="DMTH43M8LK3" display="DMTH43M8LK3"/>
    <hyperlink ref="B1687" r:id="rId_hyperlink_3372" tooltip="DMTH43M8LK3 Datasheet" display="DMTH43M8LK3 Datasheet"/>
    <hyperlink ref="A1688" r:id="rId_hyperlink_3373" tooltip="DMTH43M8LK3Q" display="DMTH43M8LK3Q"/>
    <hyperlink ref="B1688" r:id="rId_hyperlink_3374" tooltip="DMTH43M8LK3Q Datasheet" display="DMTH43M8LK3Q Datasheet"/>
    <hyperlink ref="A1689" r:id="rId_hyperlink_3375" tooltip="DMTH43M8LPS" display="DMTH43M8LPS"/>
    <hyperlink ref="B1689" r:id="rId_hyperlink_3376" tooltip="DMTH43M8LPS Datasheet" display="DMTH43M8LPS Datasheet"/>
    <hyperlink ref="A1690" r:id="rId_hyperlink_3377" tooltip="DMTH43M8LPSQ" display="DMTH43M8LPSQ"/>
    <hyperlink ref="B1690" r:id="rId_hyperlink_3378" tooltip="DMTH43M8LPSQ Datasheet" display="DMTH43M8LPSQ Datasheet"/>
    <hyperlink ref="A1691" r:id="rId_hyperlink_3379" tooltip="DMTH43M8LPSWQ" display="DMTH43M8LPSWQ"/>
    <hyperlink ref="B1691" r:id="rId_hyperlink_3380" tooltip="DMTH43M8LPSWQ Datasheet" display="DMTH43M8LPSWQ Datasheet"/>
    <hyperlink ref="A1692" r:id="rId_hyperlink_3381" tooltip="DMTH45M5LFVW" display="DMTH45M5LFVW"/>
    <hyperlink ref="B1692" r:id="rId_hyperlink_3382" tooltip="DMTH45M5LFVW Datasheet" display="DMTH45M5LFVW Datasheet"/>
    <hyperlink ref="A1693" r:id="rId_hyperlink_3383" tooltip="DMTH45M5LFVWQ" display="DMTH45M5LFVWQ"/>
    <hyperlink ref="B1693" r:id="rId_hyperlink_3384" tooltip="DMTH45M5LFVWQ Datasheet" display="DMTH45M5LFVWQ Datasheet"/>
    <hyperlink ref="A1694" r:id="rId_hyperlink_3385" tooltip="DMTH45M5LPDW" display="DMTH45M5LPDW"/>
    <hyperlink ref="B1694" r:id="rId_hyperlink_3386" tooltip="DMTH45M5LPDW Datasheet" display="DMTH45M5LPDW Datasheet"/>
    <hyperlink ref="A1695" r:id="rId_hyperlink_3387" tooltip="DMTH45M5LPDWQ" display="DMTH45M5LPDWQ"/>
    <hyperlink ref="B1695" r:id="rId_hyperlink_3388" tooltip="DMTH45M5LPDWQ Datasheet" display="DMTH45M5LPDWQ Datasheet"/>
    <hyperlink ref="A1696" r:id="rId_hyperlink_3389" tooltip="DMTH45M5LPSW" display="DMTH45M5LPSW"/>
    <hyperlink ref="B1696" r:id="rId_hyperlink_3390" tooltip="DMTH45M5LPSW Datasheet" display="DMTH45M5LPSW Datasheet"/>
    <hyperlink ref="A1697" r:id="rId_hyperlink_3391" tooltip="DMTH45M5LPSWQ" display="DMTH45M5LPSWQ"/>
    <hyperlink ref="B1697" r:id="rId_hyperlink_3392" tooltip="DMTH45M5LPSWQ Datasheet" display="DMTH45M5LPSWQ Datasheet"/>
    <hyperlink ref="A1698" r:id="rId_hyperlink_3393" tooltip="DMTH45M5SFVW" display="DMTH45M5SFVW"/>
    <hyperlink ref="B1698" r:id="rId_hyperlink_3394" tooltip="DMTH45M5SFVW Datasheet" display="DMTH45M5SFVW Datasheet"/>
    <hyperlink ref="A1699" r:id="rId_hyperlink_3395" tooltip="DMTH45M5SFVWQ" display="DMTH45M5SFVWQ"/>
    <hyperlink ref="B1699" r:id="rId_hyperlink_3396" tooltip="DMTH45M5SFVWQ Datasheet" display="DMTH45M5SFVWQ Datasheet"/>
    <hyperlink ref="A1700" r:id="rId_hyperlink_3397" tooltip="DMTH45M5SPDW" display="DMTH45M5SPDW"/>
    <hyperlink ref="B1700" r:id="rId_hyperlink_3398" tooltip="DMTH45M5SPDW Datasheet" display="DMTH45M5SPDW Datasheet"/>
    <hyperlink ref="A1701" r:id="rId_hyperlink_3399" tooltip="DMTH45M5SPDWQ" display="DMTH45M5SPDWQ"/>
    <hyperlink ref="B1701" r:id="rId_hyperlink_3400" tooltip="DMTH45M5SPDWQ Datasheet" display="DMTH45M5SPDWQ Datasheet"/>
    <hyperlink ref="A1702" r:id="rId_hyperlink_3401" tooltip="DMTH45M5SPSW" display="DMTH45M5SPSW"/>
    <hyperlink ref="B1702" r:id="rId_hyperlink_3402" tooltip="DMTH45M5SPSW Datasheet" display="DMTH45M5SPSW Datasheet"/>
    <hyperlink ref="A1703" r:id="rId_hyperlink_3403" tooltip="DMTH45M5SPSWQ" display="DMTH45M5SPSWQ"/>
    <hyperlink ref="B1703" r:id="rId_hyperlink_3404" tooltip="DMTH45M5SPSWQ Datasheet" display="DMTH45M5SPSWQ Datasheet"/>
    <hyperlink ref="A1704" r:id="rId_hyperlink_3405" tooltip="DMTH47M2LFVW" display="DMTH47M2LFVW"/>
    <hyperlink ref="B1704" r:id="rId_hyperlink_3406" tooltip="DMTH47M2LFVW Datasheet" display="DMTH47M2LFVW Datasheet"/>
    <hyperlink ref="A1705" r:id="rId_hyperlink_3407" tooltip="DMTH47M2LFVWQ" display="DMTH47M2LFVWQ"/>
    <hyperlink ref="B1705" r:id="rId_hyperlink_3408" tooltip="DMTH47M2LFVWQ Datasheet" display="DMTH47M2LFVWQ Datasheet"/>
    <hyperlink ref="A1706" r:id="rId_hyperlink_3409" tooltip="DMTH47M2LPSW" display="DMTH47M2LPSW"/>
    <hyperlink ref="B1706" r:id="rId_hyperlink_3410" tooltip="DMTH47M2LPSW Datasheet" display="DMTH47M2LPSW Datasheet"/>
    <hyperlink ref="A1707" r:id="rId_hyperlink_3411" tooltip="DMTH47M2LPSWQ" display="DMTH47M2LPSWQ"/>
    <hyperlink ref="B1707" r:id="rId_hyperlink_3412" tooltip="DMTH47M2LPSWQ Datasheet" display="DMTH47M2LPSWQ Datasheet"/>
    <hyperlink ref="A1708" r:id="rId_hyperlink_3413" tooltip="DMTH47M2SK3" display="DMTH47M2SK3"/>
    <hyperlink ref="B1708" r:id="rId_hyperlink_3414" tooltip="DMTH47M2SK3 Datasheet" display="DMTH47M2SK3 Datasheet"/>
    <hyperlink ref="A1709" r:id="rId_hyperlink_3415" tooltip="DMTH47M2SPSW" display="DMTH47M2SPSW"/>
    <hyperlink ref="B1709" r:id="rId_hyperlink_3416" tooltip="DMTH47M2SPSW Datasheet" display="DMTH47M2SPSW Datasheet"/>
    <hyperlink ref="A1710" r:id="rId_hyperlink_3417" tooltip="DMTH47M2SPSWQ" display="DMTH47M2SPSWQ"/>
    <hyperlink ref="B1710" r:id="rId_hyperlink_3418" tooltip="DMTH47M2SPSWQ Datasheet" display="DMTH47M2SPSWQ Datasheet"/>
    <hyperlink ref="A1711" r:id="rId_hyperlink_3419" tooltip="DMTH48M3SFVW" display="DMTH48M3SFVW"/>
    <hyperlink ref="B1711" r:id="rId_hyperlink_3420" tooltip="DMTH48M3SFVW Datasheet" display="DMTH48M3SFVW Datasheet"/>
    <hyperlink ref="A1712" r:id="rId_hyperlink_3421" tooltip="DMTH48M3SFVWQ" display="DMTH48M3SFVWQ"/>
    <hyperlink ref="B1712" r:id="rId_hyperlink_3422" tooltip="DMTH48M3SFVWQ Datasheet" display="DMTH48M3SFVWQ Datasheet"/>
    <hyperlink ref="A1713" r:id="rId_hyperlink_3423" tooltip="DMTH4M70SPGW" display="DMTH4M70SPGW"/>
    <hyperlink ref="B1713" r:id="rId_hyperlink_3424" tooltip="DMTH4M70SPGW Datasheet" display="DMTH4M70SPGW Datasheet"/>
    <hyperlink ref="A1714" r:id="rId_hyperlink_3425" tooltip="DMTH4M70SPGWQ" display="DMTH4M70SPGWQ"/>
    <hyperlink ref="B1714" r:id="rId_hyperlink_3426" tooltip="DMTH4M70SPGWQ Datasheet" display="DMTH4M70SPGWQ Datasheet"/>
    <hyperlink ref="A1715" r:id="rId_hyperlink_3427" tooltip="DMTH4M90LPSW" display="DMTH4M90LPSW"/>
    <hyperlink ref="B1715" r:id="rId_hyperlink_3428" tooltip="DMTH4M90LPSW Datasheet" display="DMTH4M90LPSW Datasheet"/>
    <hyperlink ref="A1716" r:id="rId_hyperlink_3429" tooltip="DMTH4M90LPSWQ" display="DMTH4M90LPSWQ"/>
    <hyperlink ref="B1716" r:id="rId_hyperlink_3430" tooltip="DMTH4M90LPSWQ Datasheet" display="DMTH4M90LPSWQ Datasheet"/>
    <hyperlink ref="A1717" r:id="rId_hyperlink_3431" tooltip="DMTH4M90SPSW" display="DMTH4M90SPSW"/>
    <hyperlink ref="B1717" r:id="rId_hyperlink_3432" tooltip="DMTH4M90SPSW Datasheet" display="DMTH4M90SPSW Datasheet"/>
    <hyperlink ref="A1718" r:id="rId_hyperlink_3433" tooltip="DMTH4M90SPSWQ" display="DMTH4M90SPSWQ"/>
    <hyperlink ref="B1718" r:id="rId_hyperlink_3434" tooltip="DMTH4M90SPSWQ Datasheet" display="DMTH4M90SPSWQ Datasheet"/>
    <hyperlink ref="A1719" r:id="rId_hyperlink_3435" tooltip="DMTH6002LPS" display="DMTH6002LPS"/>
    <hyperlink ref="B1719" r:id="rId_hyperlink_3436" tooltip="DMTH6002LPS Datasheet" display="DMTH6002LPS Datasheet"/>
    <hyperlink ref="A1720" r:id="rId_hyperlink_3437" tooltip="DMTH6002LPSW" display="DMTH6002LPSW"/>
    <hyperlink ref="B1720" r:id="rId_hyperlink_3438" tooltip="DMTH6002LPSW Datasheet" display="DMTH6002LPSW Datasheet"/>
    <hyperlink ref="A1721" r:id="rId_hyperlink_3439" tooltip="DMTH6002LPSWQ" display="DMTH6002LPSWQ"/>
    <hyperlink ref="B1721" r:id="rId_hyperlink_3440" tooltip="DMTH6002LPSWQ Datasheet" display="DMTH6002LPSWQ Datasheet"/>
    <hyperlink ref="A1722" r:id="rId_hyperlink_3441" tooltip="DMTH6004LPS" display="DMTH6004LPS"/>
    <hyperlink ref="B1722" r:id="rId_hyperlink_3442" tooltip="DMTH6004LPS Datasheet" display="DMTH6004LPS Datasheet"/>
    <hyperlink ref="A1723" r:id="rId_hyperlink_3443" tooltip="DMTH6004LPSQ" display="DMTH6004LPSQ"/>
    <hyperlink ref="B1723" r:id="rId_hyperlink_3444" tooltip="DMTH6004LPSQ Datasheet" display="DMTH6004LPSQ Datasheet"/>
    <hyperlink ref="A1724" r:id="rId_hyperlink_3445" tooltip="DMTH6004LPSWQ" display="DMTH6004LPSWQ"/>
    <hyperlink ref="B1724" r:id="rId_hyperlink_3446" tooltip="DMTH6004LPSWQ Datasheet" display="DMTH6004LPSWQ Datasheet"/>
    <hyperlink ref="A1725" r:id="rId_hyperlink_3447" tooltip="DMTH6004SCT" display="DMTH6004SCT"/>
    <hyperlink ref="B1725" r:id="rId_hyperlink_3448" tooltip="DMTH6004SCT Datasheet" display="DMTH6004SCT Datasheet"/>
    <hyperlink ref="A1726" r:id="rId_hyperlink_3449" tooltip="DMTH6004SCTB" display="DMTH6004SCTB"/>
    <hyperlink ref="B1726" r:id="rId_hyperlink_3450" tooltip="DMTH6004SCTB Datasheet" display="DMTH6004SCTB Datasheet"/>
    <hyperlink ref="A1727" r:id="rId_hyperlink_3451" tooltip="DMTH6004SCTBQ" display="DMTH6004SCTBQ"/>
    <hyperlink ref="B1727" r:id="rId_hyperlink_3452" tooltip="DMTH6004SCTBQ Datasheet" display="DMTH6004SCTBQ Datasheet"/>
    <hyperlink ref="A1728" r:id="rId_hyperlink_3453" tooltip="DMTH6004SK3" display="DMTH6004SK3"/>
    <hyperlink ref="B1728" r:id="rId_hyperlink_3454" tooltip="DMTH6004SK3 Datasheet" display="DMTH6004SK3 Datasheet"/>
    <hyperlink ref="A1729" r:id="rId_hyperlink_3455" tooltip="DMTH6004SK3Q" display="DMTH6004SK3Q"/>
    <hyperlink ref="B1729" r:id="rId_hyperlink_3456" tooltip="DMTH6004SK3Q Datasheet" display="DMTH6004SK3Q Datasheet"/>
    <hyperlink ref="A1730" r:id="rId_hyperlink_3457" tooltip="DMTH6004SPS" display="DMTH6004SPS"/>
    <hyperlink ref="B1730" r:id="rId_hyperlink_3458" tooltip="DMTH6004SPS Datasheet" display="DMTH6004SPS Datasheet"/>
    <hyperlink ref="A1731" r:id="rId_hyperlink_3459" tooltip="DMTH6004SPSQ" display="DMTH6004SPSQ"/>
    <hyperlink ref="B1731" r:id="rId_hyperlink_3460" tooltip="DMTH6004SPSQ Datasheet" display="DMTH6004SPSQ Datasheet"/>
    <hyperlink ref="A1732" r:id="rId_hyperlink_3461" tooltip="DMTH6004SPSWQ" display="DMTH6004SPSWQ"/>
    <hyperlink ref="B1732" r:id="rId_hyperlink_3462" tooltip="DMTH6004SPSWQ Datasheet" display="DMTH6004SPSWQ Datasheet"/>
    <hyperlink ref="A1733" r:id="rId_hyperlink_3463" tooltip="DMTH6005LCT" display="DMTH6005LCT"/>
    <hyperlink ref="B1733" r:id="rId_hyperlink_3464" tooltip="DMTH6005LCT Datasheet" display="DMTH6005LCT Datasheet"/>
    <hyperlink ref="A1734" r:id="rId_hyperlink_3465" tooltip="DMTH6005LFG" display="DMTH6005LFG"/>
    <hyperlink ref="B1734" r:id="rId_hyperlink_3466" tooltip="DMTH6005LFG Datasheet" display="DMTH6005LFG Datasheet"/>
    <hyperlink ref="A1735" r:id="rId_hyperlink_3467" tooltip="DMTH6005LFGQ" display="DMTH6005LFGQ"/>
    <hyperlink ref="B1735" r:id="rId_hyperlink_3468" tooltip="DMTH6005LFGQ Datasheet" display="DMTH6005LFGQ Datasheet"/>
    <hyperlink ref="A1736" r:id="rId_hyperlink_3469" tooltip="DMTH6005LK3" display="DMTH6005LK3"/>
    <hyperlink ref="B1736" r:id="rId_hyperlink_3470" tooltip="DMTH6005LK3 Datasheet" display="DMTH6005LK3 Datasheet"/>
    <hyperlink ref="A1737" r:id="rId_hyperlink_3471" tooltip="DMTH6005LK3Q" display="DMTH6005LK3Q"/>
    <hyperlink ref="B1737" r:id="rId_hyperlink_3472" tooltip="DMTH6005LK3Q Datasheet" display="DMTH6005LK3Q Datasheet"/>
    <hyperlink ref="A1738" r:id="rId_hyperlink_3473" tooltip="DMTH6005LPS" display="DMTH6005LPS"/>
    <hyperlink ref="B1738" r:id="rId_hyperlink_3474" tooltip="DMTH6005LPS Datasheet" display="DMTH6005LPS Datasheet"/>
    <hyperlink ref="A1739" r:id="rId_hyperlink_3475" tooltip="DMTH6005LPSQ" display="DMTH6005LPSQ"/>
    <hyperlink ref="B1739" r:id="rId_hyperlink_3476" tooltip="DMTH6005LPSQ Datasheet" display="DMTH6005LPSQ Datasheet"/>
    <hyperlink ref="A1740" r:id="rId_hyperlink_3477" tooltip="DMTH6005LPSWQ" display="DMTH6005LPSWQ"/>
    <hyperlink ref="B1740" r:id="rId_hyperlink_3478" tooltip="DMTH6005LPSWQ Datasheet" display="DMTH6005LPSWQ Datasheet"/>
    <hyperlink ref="A1741" r:id="rId_hyperlink_3479" tooltip="DMTH6006LPSW" display="DMTH6006LPSW"/>
    <hyperlink ref="B1741" r:id="rId_hyperlink_3480" tooltip="DMTH6006LPSW Datasheet" display="DMTH6006LPSW Datasheet"/>
    <hyperlink ref="A1742" r:id="rId_hyperlink_3481" tooltip="DMTH6006LPSWQ" display="DMTH6006LPSWQ"/>
    <hyperlink ref="B1742" r:id="rId_hyperlink_3482" tooltip="DMTH6006LPSWQ Datasheet" display="DMTH6006LPSWQ Datasheet"/>
    <hyperlink ref="A1743" r:id="rId_hyperlink_3483" tooltip="DMTH6006SPS" display="DMTH6006SPS"/>
    <hyperlink ref="B1743" r:id="rId_hyperlink_3484" tooltip="DMTH6006SPS Datasheet" display="DMTH6006SPS Datasheet"/>
    <hyperlink ref="A1744" r:id="rId_hyperlink_3485" tooltip="DMTH6009LK3" display="DMTH6009LK3"/>
    <hyperlink ref="B1744" r:id="rId_hyperlink_3486" tooltip="DMTH6009LK3 Datasheet" display="DMTH6009LK3 Datasheet"/>
    <hyperlink ref="A1745" r:id="rId_hyperlink_3487" tooltip="DMTH6009LK3Q" display="DMTH6009LK3Q"/>
    <hyperlink ref="B1745" r:id="rId_hyperlink_3488" tooltip="DMTH6009LK3Q Datasheet" display="DMTH6009LK3Q Datasheet"/>
    <hyperlink ref="A1746" r:id="rId_hyperlink_3489" tooltip="DMTH6009LPS" display="DMTH6009LPS"/>
    <hyperlink ref="B1746" r:id="rId_hyperlink_3490" tooltip="DMTH6009LPS Datasheet" display="DMTH6009LPS Datasheet"/>
    <hyperlink ref="A1747" r:id="rId_hyperlink_3491" tooltip="DMTH6009LPSQ" display="DMTH6009LPSQ"/>
    <hyperlink ref="B1747" r:id="rId_hyperlink_3492" tooltip="DMTH6009LPSQ Datasheet" display="DMTH6009LPSQ Datasheet"/>
    <hyperlink ref="A1748" r:id="rId_hyperlink_3493" tooltip="DMTH6009LPSWQ" display="DMTH6009LPSWQ"/>
    <hyperlink ref="B1748" r:id="rId_hyperlink_3494" tooltip="DMTH6009LPSWQ Datasheet" display="DMTH6009LPSWQ Datasheet"/>
    <hyperlink ref="A1749" r:id="rId_hyperlink_3495" tooltip="DMTH6009SPS" display="DMTH6009SPS"/>
    <hyperlink ref="B1749" r:id="rId_hyperlink_3496" tooltip="DMTH6009SPS Datasheet" display="DMTH6009SPS Datasheet"/>
    <hyperlink ref="A1750" r:id="rId_hyperlink_3497" tooltip="DMTH6010LK3" display="DMTH6010LK3"/>
    <hyperlink ref="B1750" r:id="rId_hyperlink_3498" tooltip="DMTH6010LK3 Datasheet" display="DMTH6010LK3 Datasheet"/>
    <hyperlink ref="A1751" r:id="rId_hyperlink_3499" tooltip="DMTH6010LK3Q" display="DMTH6010LK3Q"/>
    <hyperlink ref="B1751" r:id="rId_hyperlink_3500" tooltip="DMTH6010LK3Q Datasheet" display="DMTH6010LK3Q Datasheet"/>
    <hyperlink ref="A1752" r:id="rId_hyperlink_3501" tooltip="DMTH6010LPD" display="DMTH6010LPD"/>
    <hyperlink ref="B1752" r:id="rId_hyperlink_3502" tooltip="DMTH6010LPD Datasheet" display="DMTH6010LPD Datasheet"/>
    <hyperlink ref="A1753" r:id="rId_hyperlink_3503" tooltip="DMTH6010LPDQ" display="DMTH6010LPDQ"/>
    <hyperlink ref="B1753" r:id="rId_hyperlink_3504" tooltip="DMTH6010LPDQ Datasheet" display="DMTH6010LPDQ Datasheet"/>
    <hyperlink ref="A1754" r:id="rId_hyperlink_3505" tooltip="DMTH6010LPDW" display="DMTH6010LPDW"/>
    <hyperlink ref="B1754" r:id="rId_hyperlink_3506" tooltip="DMTH6010LPDW Datasheet" display="DMTH6010LPDW Datasheet"/>
    <hyperlink ref="A1755" r:id="rId_hyperlink_3507" tooltip="DMTH6010LPDWQ" display="DMTH6010LPDWQ"/>
    <hyperlink ref="B1755" r:id="rId_hyperlink_3508" tooltip="DMTH6010LPDWQ Datasheet" display="DMTH6010LPDWQ Datasheet"/>
    <hyperlink ref="A1756" r:id="rId_hyperlink_3509" tooltip="DMTH6010LPS" display="DMTH6010LPS"/>
    <hyperlink ref="B1756" r:id="rId_hyperlink_3510" tooltip="DMTH6010LPS Datasheet" display="DMTH6010LPS Datasheet"/>
    <hyperlink ref="A1757" r:id="rId_hyperlink_3511" tooltip="DMTH6010LPSQ" display="DMTH6010LPSQ"/>
    <hyperlink ref="B1757" r:id="rId_hyperlink_3512" tooltip="DMTH6010LPSQ Datasheet" display="DMTH6010LPSQ Datasheet"/>
    <hyperlink ref="A1758" r:id="rId_hyperlink_3513" tooltip="DMTH6010LPSW" display="DMTH6010LPSW"/>
    <hyperlink ref="B1758" r:id="rId_hyperlink_3514" tooltip="DMTH6010LPSW Datasheet" display="DMTH6010LPSW Datasheet"/>
    <hyperlink ref="A1759" r:id="rId_hyperlink_3515" tooltip="DMTH6010LPSWQ" display="DMTH6010LPSWQ"/>
    <hyperlink ref="B1759" r:id="rId_hyperlink_3516" tooltip="DMTH6010LPSWQ Datasheet" display="DMTH6010LPSWQ Datasheet"/>
    <hyperlink ref="A1760" r:id="rId_hyperlink_3517" tooltip="DMTH6010SCT" display="DMTH6010SCT"/>
    <hyperlink ref="B1760" r:id="rId_hyperlink_3518" tooltip="DMTH6010SCT Datasheet" display="DMTH6010SCT Datasheet"/>
    <hyperlink ref="A1761" r:id="rId_hyperlink_3519" tooltip="DMTH6010SK3" display="DMTH6010SK3"/>
    <hyperlink ref="B1761" r:id="rId_hyperlink_3520" tooltip="DMTH6010SK3 Datasheet" display="DMTH6010SK3 Datasheet"/>
    <hyperlink ref="A1762" r:id="rId_hyperlink_3521" tooltip="DMTH6010SK3Q" display="DMTH6010SK3Q"/>
    <hyperlink ref="B1762" r:id="rId_hyperlink_3522" tooltip="DMTH6010SK3Q Datasheet" display="DMTH6010SK3Q Datasheet"/>
    <hyperlink ref="A1763" r:id="rId_hyperlink_3523" tooltip="DMTH6010SPS" display="DMTH6010SPS"/>
    <hyperlink ref="B1763" r:id="rId_hyperlink_3524" tooltip="DMTH6010SPS Datasheet" display="DMTH6010SPS Datasheet"/>
    <hyperlink ref="A1764" r:id="rId_hyperlink_3525" tooltip="DMTH6012LPSW" display="DMTH6012LPSW"/>
    <hyperlink ref="B1764" r:id="rId_hyperlink_3526" tooltip="DMTH6012LPSW Datasheet" display="DMTH6012LPSW Datasheet"/>
    <hyperlink ref="A1765" r:id="rId_hyperlink_3527" tooltip="DMTH6012LPSWQ" display="DMTH6012LPSWQ"/>
    <hyperlink ref="B1765" r:id="rId_hyperlink_3528" tooltip="DMTH6012LPSWQ Datasheet" display="DMTH6012LPSWQ Datasheet"/>
    <hyperlink ref="A1766" r:id="rId_hyperlink_3529" tooltip="DMTH6015LDVW" display="DMTH6015LDVW"/>
    <hyperlink ref="B1766" r:id="rId_hyperlink_3530" tooltip="DMTH6015LDVW Datasheet" display="DMTH6015LDVW Datasheet"/>
    <hyperlink ref="A1767" r:id="rId_hyperlink_3531" tooltip="DMTH6015LDVWQ" display="DMTH6015LDVWQ"/>
    <hyperlink ref="B1767" r:id="rId_hyperlink_3532" tooltip="DMTH6015LDVWQ Datasheet" display="DMTH6015LDVWQ Datasheet"/>
    <hyperlink ref="A1768" r:id="rId_hyperlink_3533" tooltip="DMTH6015LPDW" display="DMTH6015LPDW"/>
    <hyperlink ref="B1768" r:id="rId_hyperlink_3534" tooltip="DMTH6015LPDW Datasheet" display="DMTH6015LPDW Datasheet"/>
    <hyperlink ref="A1769" r:id="rId_hyperlink_3535" tooltip="DMTH6015LPDWQ" display="DMTH6015LPDWQ"/>
    <hyperlink ref="B1769" r:id="rId_hyperlink_3536" tooltip="DMTH6015LPDWQ Datasheet" display="DMTH6015LPDWQ Datasheet"/>
    <hyperlink ref="A1770" r:id="rId_hyperlink_3537" tooltip="DMTH6016LFDFW" display="DMTH6016LFDFW"/>
    <hyperlink ref="B1770" r:id="rId_hyperlink_3538" tooltip="DMTH6016LFDFW Datasheet" display="DMTH6016LFDFW Datasheet"/>
    <hyperlink ref="A1771" r:id="rId_hyperlink_3539" tooltip="DMTH6016LFDFWQ" display="DMTH6016LFDFWQ"/>
    <hyperlink ref="B1771" r:id="rId_hyperlink_3540" tooltip="DMTH6016LFDFWQ Datasheet" display="DMTH6016LFDFWQ Datasheet"/>
    <hyperlink ref="A1772" r:id="rId_hyperlink_3541" tooltip="DMTH6016LFVW" display="DMTH6016LFVW"/>
    <hyperlink ref="B1772" r:id="rId_hyperlink_3542" tooltip="DMTH6016LFVW Datasheet" display="DMTH6016LFVW Datasheet"/>
    <hyperlink ref="A1773" r:id="rId_hyperlink_3543" tooltip="DMTH6016LFVWQ" display="DMTH6016LFVWQ"/>
    <hyperlink ref="B1773" r:id="rId_hyperlink_3544" tooltip="DMTH6016LFVWQ Datasheet" display="DMTH6016LFVWQ Datasheet"/>
    <hyperlink ref="A1774" r:id="rId_hyperlink_3545" tooltip="DMTH6016LK3" display="DMTH6016LK3"/>
    <hyperlink ref="B1774" r:id="rId_hyperlink_3546" tooltip="DMTH6016LK3 Datasheet" display="DMTH6016LK3 Datasheet"/>
    <hyperlink ref="A1775" r:id="rId_hyperlink_3547" tooltip="DMTH6016LK3Q" display="DMTH6016LK3Q"/>
    <hyperlink ref="B1775" r:id="rId_hyperlink_3548" tooltip="DMTH6016LK3Q Datasheet" display="DMTH6016LK3Q Datasheet"/>
    <hyperlink ref="A1776" r:id="rId_hyperlink_3549" tooltip="DMTH6016LPD" display="DMTH6016LPD"/>
    <hyperlink ref="B1776" r:id="rId_hyperlink_3550" tooltip="DMTH6016LPD Datasheet" display="DMTH6016LPD Datasheet"/>
    <hyperlink ref="A1777" r:id="rId_hyperlink_3551" tooltip="DMTH6016LPDQ" display="DMTH6016LPDQ"/>
    <hyperlink ref="B1777" r:id="rId_hyperlink_3552" tooltip="DMTH6016LPDQ Datasheet" display="DMTH6016LPDQ Datasheet"/>
    <hyperlink ref="A1778" r:id="rId_hyperlink_3553" tooltip="DMTH6016LPDWQ" display="DMTH6016LPDWQ"/>
    <hyperlink ref="B1778" r:id="rId_hyperlink_3554" tooltip="DMTH6016LPDWQ Datasheet" display="DMTH6016LPDWQ Datasheet"/>
    <hyperlink ref="A1779" r:id="rId_hyperlink_3555" tooltip="DMTH6016LPS" display="DMTH6016LPS"/>
    <hyperlink ref="B1779" r:id="rId_hyperlink_3556" tooltip="DMTH6016LPS Datasheet" display="DMTH6016LPS Datasheet"/>
    <hyperlink ref="A1780" r:id="rId_hyperlink_3557" tooltip="DMTH6016LPSQ" display="DMTH6016LPSQ"/>
    <hyperlink ref="B1780" r:id="rId_hyperlink_3558" tooltip="DMTH6016LPSQ Datasheet" display="DMTH6016LPSQ Datasheet"/>
    <hyperlink ref="A1781" r:id="rId_hyperlink_3559" tooltip="DMTH6016LPSWQ" display="DMTH6016LPSWQ"/>
    <hyperlink ref="B1781" r:id="rId_hyperlink_3560" tooltip="DMTH6016LPSWQ Datasheet" display="DMTH6016LPSWQ Datasheet"/>
    <hyperlink ref="A1782" r:id="rId_hyperlink_3561" tooltip="DMTH6016LSD" display="DMTH6016LSD"/>
    <hyperlink ref="B1782" r:id="rId_hyperlink_3562" tooltip="DMTH6016LSD Datasheet" display="DMTH6016LSD Datasheet"/>
    <hyperlink ref="A1783" r:id="rId_hyperlink_3563" tooltip="DMTH6016LSDQ" display="DMTH6016LSDQ"/>
    <hyperlink ref="B1783" r:id="rId_hyperlink_3564" tooltip="DMTH6016LSDQ Datasheet" display="DMTH6016LSDQ Datasheet"/>
    <hyperlink ref="A1784" r:id="rId_hyperlink_3565" tooltip="DMTH61M5SPSW" display="DMTH61M5SPSW"/>
    <hyperlink ref="B1784" r:id="rId_hyperlink_3566" tooltip="DMTH61M5SPSW Datasheet" display="DMTH61M5SPSW Datasheet"/>
    <hyperlink ref="A1785" r:id="rId_hyperlink_3567" tooltip="DMTH61M5SPSWQ" display="DMTH61M5SPSWQ"/>
    <hyperlink ref="B1785" r:id="rId_hyperlink_3568" tooltip="DMTH61M5SPSWQ Datasheet" display="DMTH61M5SPSWQ Datasheet"/>
    <hyperlink ref="A1786" r:id="rId_hyperlink_3569" tooltip="DMTH61M8LPS" display="DMTH61M8LPS"/>
    <hyperlink ref="B1786" r:id="rId_hyperlink_3570" tooltip="DMTH61M8LPS Datasheet" display="DMTH61M8LPS Datasheet"/>
    <hyperlink ref="A1787" r:id="rId_hyperlink_3571" tooltip="DMTH61M8LPSQ" display="DMTH61M8LPSQ"/>
    <hyperlink ref="B1787" r:id="rId_hyperlink_3572" tooltip="DMTH61M8LPSQ Datasheet" display="DMTH61M8LPSQ Datasheet"/>
    <hyperlink ref="A1788" r:id="rId_hyperlink_3573" tooltip="DMTH61M8SPS" display="DMTH61M8SPS"/>
    <hyperlink ref="B1788" r:id="rId_hyperlink_3574" tooltip="DMTH61M8SPS Datasheet" display="DMTH61M8SPS Datasheet"/>
    <hyperlink ref="A1789" r:id="rId_hyperlink_3575" tooltip="DMTH61M8SPSQ" display="DMTH61M8SPSQ"/>
    <hyperlink ref="B1789" r:id="rId_hyperlink_3576" tooltip="DMTH61M8SPSQ Datasheet" display="DMTH61M8SPSQ Datasheet"/>
    <hyperlink ref="A1790" r:id="rId_hyperlink_3577" tooltip="DMTH62M7SPSW" display="DMTH62M7SPSW"/>
    <hyperlink ref="B1790" r:id="rId_hyperlink_3578" tooltip="DMTH62M7SPSW Datasheet" display="DMTH62M7SPSW Datasheet"/>
    <hyperlink ref="A1791" r:id="rId_hyperlink_3579" tooltip="DMTH62M7SPSWQ" display="DMTH62M7SPSWQ"/>
    <hyperlink ref="B1791" r:id="rId_hyperlink_3580" tooltip="DMTH62M7SPSWQ Datasheet" display="DMTH62M7SPSWQ Datasheet"/>
    <hyperlink ref="A1792" r:id="rId_hyperlink_3581" tooltip="DMTH62M8LPS" display="DMTH62M8LPS"/>
    <hyperlink ref="B1792" r:id="rId_hyperlink_3582" tooltip="DMTH62M8LPS Datasheet" display="DMTH62M8LPS Datasheet"/>
    <hyperlink ref="A1793" r:id="rId_hyperlink_3583" tooltip="DMTH62M8SPS" display="DMTH62M8SPS"/>
    <hyperlink ref="B1793" r:id="rId_hyperlink_3584" tooltip="DMTH62M8SPS Datasheet" display="DMTH62M8SPS Datasheet"/>
    <hyperlink ref="A1794" r:id="rId_hyperlink_3585" tooltip="DMTH63M6LPSW" display="DMTH63M6LPSW"/>
    <hyperlink ref="B1794" r:id="rId_hyperlink_3586" tooltip="DMTH63M6LPSW Datasheet" display="DMTH63M6LPSW Datasheet"/>
    <hyperlink ref="A1795" r:id="rId_hyperlink_3587" tooltip="DMTH63M6LPSWQ" display="DMTH63M6LPSWQ"/>
    <hyperlink ref="B1795" r:id="rId_hyperlink_3588" tooltip="DMTH63M6LPSWQ Datasheet" display="DMTH63M6LPSWQ Datasheet"/>
    <hyperlink ref="A1796" r:id="rId_hyperlink_3589" tooltip="DMTH69M8LFVW" display="DMTH69M8LFVW"/>
    <hyperlink ref="B1796" r:id="rId_hyperlink_3590" tooltip="DMTH69M8LFVW Datasheet" display="DMTH69M8LFVW Datasheet"/>
    <hyperlink ref="A1797" r:id="rId_hyperlink_3591" tooltip="DMTH69M8LFVWQ" display="DMTH69M8LFVWQ"/>
    <hyperlink ref="B1797" r:id="rId_hyperlink_3592" tooltip="DMTH69M8LFVWQ Datasheet" display="DMTH69M8LFVWQ Datasheet"/>
    <hyperlink ref="A1798" r:id="rId_hyperlink_3593" tooltip="DMTH69M9LPDW" display="DMTH69M9LPDW"/>
    <hyperlink ref="B1798" r:id="rId_hyperlink_3594" tooltip="DMTH69M9LPDW Datasheet" display="DMTH69M9LPDW Datasheet"/>
    <hyperlink ref="A1799" r:id="rId_hyperlink_3595" tooltip="DMTH69M9LPDWQ" display="DMTH69M9LPDWQ"/>
    <hyperlink ref="B1799" r:id="rId_hyperlink_3596" tooltip="DMTH69M9LPDWQ Datasheet" display="DMTH69M9LPDWQ Datasheet"/>
    <hyperlink ref="A1800" r:id="rId_hyperlink_3597" tooltip="DMTH8001STLW" display="DMTH8001STLW"/>
    <hyperlink ref="B1800" r:id="rId_hyperlink_3598" tooltip="DMTH8001STLW Datasheet" display="DMTH8001STLW Datasheet"/>
    <hyperlink ref="A1801" r:id="rId_hyperlink_3599" tooltip="DMTH8001STLWQ" display="DMTH8001STLWQ"/>
    <hyperlink ref="B1801" r:id="rId_hyperlink_3600" tooltip="DMTH8001STLWQ Datasheet" display="DMTH8001STLWQ Datasheet"/>
    <hyperlink ref="A1802" r:id="rId_hyperlink_3601" tooltip="DMTH8003SPS" display="DMTH8003SPS"/>
    <hyperlink ref="B1802" r:id="rId_hyperlink_3602" tooltip="DMTH8003SPS Datasheet" display="DMTH8003SPS Datasheet"/>
    <hyperlink ref="A1803" r:id="rId_hyperlink_3603" tooltip="DMTH8003STLW" display="DMTH8003STLW"/>
    <hyperlink ref="B1803" r:id="rId_hyperlink_3604" tooltip="DMTH8003STLW Datasheet" display="DMTH8003STLW Datasheet"/>
    <hyperlink ref="A1804" r:id="rId_hyperlink_3605" tooltip="DMTH8003STLWQ" display="DMTH8003STLWQ"/>
    <hyperlink ref="B1804" r:id="rId_hyperlink_3606" tooltip="DMTH8003STLWQ Datasheet" display="DMTH8003STLWQ Datasheet"/>
    <hyperlink ref="A1805" r:id="rId_hyperlink_3607" tooltip="DMTH8004LPS" display="DMTH8004LPS"/>
    <hyperlink ref="B1805" r:id="rId_hyperlink_3608" tooltip="DMTH8004LPS Datasheet" display="DMTH8004LPS Datasheet"/>
    <hyperlink ref="A1806" r:id="rId_hyperlink_3609" tooltip="DMTH8008LFG" display="DMTH8008LFG"/>
    <hyperlink ref="B1806" r:id="rId_hyperlink_3610" tooltip="DMTH8008LFG Datasheet" display="DMTH8008LFG Datasheet"/>
    <hyperlink ref="A1807" r:id="rId_hyperlink_3611" tooltip="DMTH8008LFGQ" display="DMTH8008LFGQ"/>
    <hyperlink ref="B1807" r:id="rId_hyperlink_3612" tooltip="DMTH8008LFGQ Datasheet" display="DMTH8008LFGQ Datasheet"/>
    <hyperlink ref="A1808" r:id="rId_hyperlink_3613" tooltip="DMTH8008LPS" display="DMTH8008LPS"/>
    <hyperlink ref="B1808" r:id="rId_hyperlink_3614" tooltip="DMTH8008LPS Datasheet" display="DMTH8008LPS Datasheet"/>
    <hyperlink ref="A1809" r:id="rId_hyperlink_3615" tooltip="DMTH8008LPSQ" display="DMTH8008LPSQ"/>
    <hyperlink ref="B1809" r:id="rId_hyperlink_3616" tooltip="DMTH8008LPSQ Datasheet" display="DMTH8008LPSQ Datasheet"/>
    <hyperlink ref="A1810" r:id="rId_hyperlink_3617" tooltip="DMTH8008LPSWQ" display="DMTH8008LPSWQ"/>
    <hyperlink ref="B1810" r:id="rId_hyperlink_3618" tooltip="DMTH8008LPSWQ Datasheet" display="DMTH8008LPSWQ Datasheet"/>
    <hyperlink ref="A1811" r:id="rId_hyperlink_3619" tooltip="DMTH8008SFG" display="DMTH8008SFG"/>
    <hyperlink ref="B1811" r:id="rId_hyperlink_3620" tooltip="DMTH8008SFG Datasheet" display="DMTH8008SFG Datasheet"/>
    <hyperlink ref="A1812" r:id="rId_hyperlink_3621" tooltip="DMTH8008SFGQ" display="DMTH8008SFGQ"/>
    <hyperlink ref="B1812" r:id="rId_hyperlink_3622" tooltip="DMTH8008SFGQ Datasheet" display="DMTH8008SFGQ Datasheet"/>
    <hyperlink ref="A1813" r:id="rId_hyperlink_3623" tooltip="DMTH8008SPS" display="DMTH8008SPS"/>
    <hyperlink ref="B1813" r:id="rId_hyperlink_3624" tooltip="DMTH8008SPS Datasheet" display="DMTH8008SPS Datasheet"/>
    <hyperlink ref="A1814" r:id="rId_hyperlink_3625" tooltip="DMTH8008SPSQ" display="DMTH8008SPSQ"/>
    <hyperlink ref="B1814" r:id="rId_hyperlink_3626" tooltip="DMTH8008SPSQ Datasheet" display="DMTH8008SPSQ Datasheet"/>
    <hyperlink ref="A1815" r:id="rId_hyperlink_3627" tooltip="DMTH8008SPSWQ" display="DMTH8008SPSWQ"/>
    <hyperlink ref="B1815" r:id="rId_hyperlink_3628" tooltip="DMTH8008SPSWQ Datasheet" display="DMTH8008SPSWQ Datasheet"/>
    <hyperlink ref="A1816" r:id="rId_hyperlink_3629" tooltip="DMTH8012LK3" display="DMTH8012LK3"/>
    <hyperlink ref="B1816" r:id="rId_hyperlink_3630" tooltip="DMTH8012LK3 Datasheet" display="DMTH8012LK3 Datasheet"/>
    <hyperlink ref="A1817" r:id="rId_hyperlink_3631" tooltip="DMTH8012LK3Q" display="DMTH8012LK3Q"/>
    <hyperlink ref="B1817" r:id="rId_hyperlink_3632" tooltip="DMTH8012LK3Q Datasheet" display="DMTH8012LK3Q Datasheet"/>
    <hyperlink ref="A1818" r:id="rId_hyperlink_3633" tooltip="DMTH8012LPS" display="DMTH8012LPS"/>
    <hyperlink ref="B1818" r:id="rId_hyperlink_3634" tooltip="DMTH8012LPS Datasheet" display="DMTH8012LPS Datasheet"/>
    <hyperlink ref="A1819" r:id="rId_hyperlink_3635" tooltip="DMTH8012LPSQ" display="DMTH8012LPSQ"/>
    <hyperlink ref="B1819" r:id="rId_hyperlink_3636" tooltip="DMTH8012LPSQ Datasheet" display="DMTH8012LPSQ Datasheet"/>
    <hyperlink ref="A1820" r:id="rId_hyperlink_3637" tooltip="DMTH8012LPSW" display="DMTH8012LPSW"/>
    <hyperlink ref="B1820" r:id="rId_hyperlink_3638" tooltip="DMTH8012LPSW Datasheet" display="DMTH8012LPSW Datasheet"/>
    <hyperlink ref="A1821" r:id="rId_hyperlink_3639" tooltip="DMTH8028LFVW" display="DMTH8028LFVW"/>
    <hyperlink ref="B1821" r:id="rId_hyperlink_3640" tooltip="DMTH8028LFVW Datasheet" display="DMTH8028LFVW Datasheet"/>
    <hyperlink ref="A1822" r:id="rId_hyperlink_3641" tooltip="DMTH8028LFVWQ" display="DMTH8028LFVWQ"/>
    <hyperlink ref="B1822" r:id="rId_hyperlink_3642" tooltip="DMTH8028LFVWQ Datasheet" display="DMTH8028LFVWQ Datasheet"/>
    <hyperlink ref="A1823" r:id="rId_hyperlink_3643" tooltip="DMTH8028LPSW" display="DMTH8028LPSW"/>
    <hyperlink ref="B1823" r:id="rId_hyperlink_3644" tooltip="DMTH8028LPSW Datasheet" display="DMTH8028LPSW Datasheet"/>
    <hyperlink ref="A1824" r:id="rId_hyperlink_3645" tooltip="DMTH8028LPSWQ" display="DMTH8028LPSWQ"/>
    <hyperlink ref="B1824" r:id="rId_hyperlink_3646" tooltip="DMTH8028LPSWQ Datasheet" display="DMTH8028LPSWQ Datasheet"/>
    <hyperlink ref="A1825" r:id="rId_hyperlink_3647" tooltip="DMTH8030LPDW" display="DMTH8030LPDW"/>
    <hyperlink ref="B1825" r:id="rId_hyperlink_3648" tooltip="DMTH8030LPDW Datasheet" display="DMTH8030LPDW Datasheet"/>
    <hyperlink ref="A1826" r:id="rId_hyperlink_3649" tooltip="DMTH8030LPDWQ" display="DMTH8030LPDWQ"/>
    <hyperlink ref="B1826" r:id="rId_hyperlink_3650" tooltip="DMTH8030LPDWQ Datasheet" display="DMTH8030LPDWQ Datasheet"/>
    <hyperlink ref="A1827" r:id="rId_hyperlink_3651" tooltip="DMTH83M2SPSW" display="DMTH83M2SPSW"/>
    <hyperlink ref="B1827" r:id="rId_hyperlink_3652" tooltip="DMTH83M2SPSW Datasheet" display="DMTH83M2SPSW Datasheet"/>
    <hyperlink ref="A1828" r:id="rId_hyperlink_3653" tooltip="DMTH83M2SPSWQ" display="DMTH83M2SPSWQ"/>
    <hyperlink ref="B1828" r:id="rId_hyperlink_3654" tooltip="DMTH83M2SPSWQ Datasheet" display="DMTH83M2SPSWQ Datasheet"/>
    <hyperlink ref="A1829" r:id="rId_hyperlink_3655" tooltip="DMTH84M1SPS" display="DMTH84M1SPS"/>
    <hyperlink ref="B1829" r:id="rId_hyperlink_3656" tooltip="DMTH84M1SPS Datasheet" display="DMTH84M1SPS Datasheet"/>
    <hyperlink ref="A1830" r:id="rId_hyperlink_3657" tooltip="DMTH84M1SPSQ" display="DMTH84M1SPSQ"/>
    <hyperlink ref="B1830" r:id="rId_hyperlink_3658" tooltip="DMTH84M1SPSQ Datasheet" display="DMTH84M1SPSQ Datasheet"/>
    <hyperlink ref="A1831" r:id="rId_hyperlink_3659" tooltip="DMWS120H100SM4" display="DMWS120H100SM4"/>
    <hyperlink ref="B1831" r:id="rId_hyperlink_3660" tooltip="DMWS120H100SM4 Datasheet" display="DMWS120H100SM4 Datasheet"/>
    <hyperlink ref="A1832" r:id="rId_hyperlink_3661" tooltip="DMWSH120H28SM3" display="DMWSH120H28SM3"/>
    <hyperlink ref="B1832" r:id="rId_hyperlink_3662" tooltip="DMWSH120H28SM3 Datasheet" display="DMWSH120H28SM3 Datasheet"/>
    <hyperlink ref="A1833" r:id="rId_hyperlink_3663" tooltip="DMWSH120H28SM3Q" display="DMWSH120H28SM3Q"/>
    <hyperlink ref="B1833" r:id="rId_hyperlink_3664" tooltip="DMWSH120H28SM3Q Datasheet" display="DMWSH120H28SM3Q Datasheet"/>
    <hyperlink ref="A1834" r:id="rId_hyperlink_3665" tooltip="DMWSH120H28SM4" display="DMWSH120H28SM4"/>
    <hyperlink ref="B1834" r:id="rId_hyperlink_3666" tooltip="DMWSH120H28SM4 Datasheet" display="DMWSH120H28SM4 Datasheet"/>
    <hyperlink ref="A1835" r:id="rId_hyperlink_3667" tooltip="DMWSH120H28SM4Q" display="DMWSH120H28SM4Q"/>
    <hyperlink ref="B1835" r:id="rId_hyperlink_3668" tooltip="DMWSH120H28SM4Q Datasheet" display="DMWSH120H28SM4Q Datasheet"/>
    <hyperlink ref="A1836" r:id="rId_hyperlink_3669" tooltip="DMWSH120H43SM3" display="DMWSH120H43SM3"/>
    <hyperlink ref="B1836" r:id="rId_hyperlink_3670" tooltip="DMWSH120H43SM3 Datasheet" display="DMWSH120H43SM3 Datasheet"/>
    <hyperlink ref="A1837" r:id="rId_hyperlink_3671" tooltip="DMWSH120H43SM4" display="DMWSH120H43SM4"/>
    <hyperlink ref="B1837" r:id="rId_hyperlink_3672" tooltip="DMWSH120H43SM4 Datasheet" display="DMWSH120H43SM4 Datasheet"/>
    <hyperlink ref="A1838" r:id="rId_hyperlink_3673" tooltip="DMWSH120H90SM3" display="DMWSH120H90SM3"/>
    <hyperlink ref="B1838" r:id="rId_hyperlink_3674" tooltip="DMWSH120H90SM3 Datasheet" display="DMWSH120H90SM3 Datasheet"/>
    <hyperlink ref="A1839" r:id="rId_hyperlink_3675" tooltip="DMWSH120H90SM3Q" display="DMWSH120H90SM3Q"/>
    <hyperlink ref="B1839" r:id="rId_hyperlink_3676" tooltip="DMWSH120H90SM3Q Datasheet" display="DMWSH120H90SM3Q Datasheet"/>
    <hyperlink ref="A1840" r:id="rId_hyperlink_3677" tooltip="DMWSH120H90SM4" display="DMWSH120H90SM4"/>
    <hyperlink ref="B1840" r:id="rId_hyperlink_3678" tooltip="DMWSH120H90SM4 Datasheet" display="DMWSH120H90SM4 Datasheet"/>
    <hyperlink ref="A1841" r:id="rId_hyperlink_3679" tooltip="DMWSH120H90SM4Q" display="DMWSH120H90SM4Q"/>
    <hyperlink ref="B1841" r:id="rId_hyperlink_3680" tooltip="DMWSH120H90SM4Q Datasheet" display="DMWSH120H90SM4Q Datasheet"/>
    <hyperlink ref="A1842" r:id="rId_hyperlink_3681" tooltip="DTM3A25P20NFDB" display="DTM3A25P20NFDB"/>
    <hyperlink ref="B1842" r:id="rId_hyperlink_3682" tooltip="DTM3A25P20NFDB Datasheet" display="DTM3A25P20NFDB Datasheet"/>
    <hyperlink ref="A1843" r:id="rId_hyperlink_3683" tooltip="MMBF170" display="MMBF170"/>
    <hyperlink ref="B1843" r:id="rId_hyperlink_3684" tooltip="MMBF170 Datasheet" display="MMBF170 Datasheet"/>
    <hyperlink ref="A1844" r:id="rId_hyperlink_3685" tooltip="MMBF170Q" display="MMBF170Q"/>
    <hyperlink ref="B1844" r:id="rId_hyperlink_3686" tooltip="MMBF170Q Datasheet" display="MMBF170Q Datasheet"/>
    <hyperlink ref="A1845" r:id="rId_hyperlink_3687" tooltip="NMSD200B01" display="NMSD200B01"/>
    <hyperlink ref="B1845" r:id="rId_hyperlink_3688" tooltip="NMSD200B01 Datasheet" display="NMSD200B01 Datasheet"/>
    <hyperlink ref="A1846" r:id="rId_hyperlink_3689" tooltip="VN10LF" display="VN10LF"/>
    <hyperlink ref="B1846" r:id="rId_hyperlink_3690" tooltip="VN10LF Datasheet" display="VN10LF Datasheet"/>
    <hyperlink ref="A1847" r:id="rId_hyperlink_3691" tooltip="VN10LP" display="VN10LP"/>
    <hyperlink ref="B1847" r:id="rId_hyperlink_3692" tooltip="VN10LP Datasheet" display="VN10LP Datasheet"/>
    <hyperlink ref="A1848" r:id="rId_hyperlink_3693" tooltip="ZVN0124A" display="ZVN0124A"/>
    <hyperlink ref="B1848" r:id="rId_hyperlink_3694" tooltip="ZVN0124A Datasheet" display="ZVN0124A Datasheet"/>
    <hyperlink ref="A1849" r:id="rId_hyperlink_3695" tooltip="ZVN0545A" display="ZVN0545A"/>
    <hyperlink ref="B1849" r:id="rId_hyperlink_3696" tooltip="ZVN0545A Datasheet" display="ZVN0545A Datasheet"/>
    <hyperlink ref="A1850" r:id="rId_hyperlink_3697" tooltip="ZVN0545G" display="ZVN0545G"/>
    <hyperlink ref="B1850" r:id="rId_hyperlink_3698" tooltip="ZVN0545G Datasheet" display="ZVN0545G Datasheet"/>
    <hyperlink ref="A1851" r:id="rId_hyperlink_3699" tooltip="ZVN2106A" display="ZVN2106A"/>
    <hyperlink ref="B1851" r:id="rId_hyperlink_3700" tooltip="ZVN2106A Datasheet" display="ZVN2106A Datasheet"/>
    <hyperlink ref="A1852" r:id="rId_hyperlink_3701" tooltip="ZVN2106G" display="ZVN2106G"/>
    <hyperlink ref="B1852" r:id="rId_hyperlink_3702" tooltip="ZVN2106G Datasheet" display="ZVN2106G Datasheet"/>
    <hyperlink ref="A1853" r:id="rId_hyperlink_3703" tooltip="ZVN2110A" display="ZVN2110A"/>
    <hyperlink ref="B1853" r:id="rId_hyperlink_3704" tooltip="ZVN2110A Datasheet" display="ZVN2110A Datasheet"/>
    <hyperlink ref="A1854" r:id="rId_hyperlink_3705" tooltip="ZVN2110G" display="ZVN2110G"/>
    <hyperlink ref="B1854" r:id="rId_hyperlink_3706" tooltip="ZVN2110G Datasheet" display="ZVN2110G Datasheet"/>
    <hyperlink ref="A1855" r:id="rId_hyperlink_3707" tooltip="ZVN2120G" display="ZVN2120G"/>
    <hyperlink ref="B1855" r:id="rId_hyperlink_3708" tooltip="ZVN2120G Datasheet" display="ZVN2120G Datasheet"/>
    <hyperlink ref="A1856" r:id="rId_hyperlink_3709" tooltip="ZVN3306A" display="ZVN3306A"/>
    <hyperlink ref="B1856" r:id="rId_hyperlink_3710" tooltip="ZVN3306A Datasheet" display="ZVN3306A Datasheet"/>
    <hyperlink ref="A1857" r:id="rId_hyperlink_3711" tooltip="ZVN3306F" display="ZVN3306F"/>
    <hyperlink ref="B1857" r:id="rId_hyperlink_3712" tooltip="ZVN3306F Datasheet" display="ZVN3306F Datasheet"/>
    <hyperlink ref="A1858" r:id="rId_hyperlink_3713" tooltip="ZVN3310A" display="ZVN3310A"/>
    <hyperlink ref="B1858" r:id="rId_hyperlink_3714" tooltip="ZVN3310A Datasheet" display="ZVN3310A Datasheet"/>
    <hyperlink ref="A1859" r:id="rId_hyperlink_3715" tooltip="ZVN3310F" display="ZVN3310F"/>
    <hyperlink ref="B1859" r:id="rId_hyperlink_3716" tooltip="ZVN3310F Datasheet" display="ZVN3310F Datasheet"/>
    <hyperlink ref="A1860" r:id="rId_hyperlink_3717" tooltip="ZVN3320F" display="ZVN3320F"/>
    <hyperlink ref="B1860" r:id="rId_hyperlink_3718" tooltip="ZVN3320F Datasheet" display="ZVN3320F Datasheet"/>
    <hyperlink ref="A1861" r:id="rId_hyperlink_3719" tooltip="ZVN4106F" display="ZVN4106F"/>
    <hyperlink ref="B1861" r:id="rId_hyperlink_3720" tooltip="ZVN4106F Datasheet" display="ZVN4106F Datasheet"/>
    <hyperlink ref="A1862" r:id="rId_hyperlink_3721" tooltip="ZVN4206A" display="ZVN4206A"/>
    <hyperlink ref="B1862" r:id="rId_hyperlink_3722" tooltip="ZVN4206A Datasheet" display="ZVN4206A Datasheet"/>
    <hyperlink ref="A1863" r:id="rId_hyperlink_3723" tooltip="ZVN4206AV" display="ZVN4206AV"/>
    <hyperlink ref="B1863" r:id="rId_hyperlink_3724" tooltip="ZVN4206AV Datasheet" display="ZVN4206AV Datasheet"/>
    <hyperlink ref="A1864" r:id="rId_hyperlink_3725" tooltip="ZVN4206G" display="ZVN4206G"/>
    <hyperlink ref="B1864" r:id="rId_hyperlink_3726" tooltip="ZVN4206G Datasheet" display="ZVN4206G Datasheet"/>
    <hyperlink ref="A1865" r:id="rId_hyperlink_3727" tooltip="ZVN4206GV" display="ZVN4206GV"/>
    <hyperlink ref="B1865" r:id="rId_hyperlink_3728" tooltip="ZVN4206GV Datasheet" display="ZVN4206GV Datasheet"/>
    <hyperlink ref="A1866" r:id="rId_hyperlink_3729" tooltip="ZVN4210A" display="ZVN4210A"/>
    <hyperlink ref="B1866" r:id="rId_hyperlink_3730" tooltip="ZVN4210A Datasheet" display="ZVN4210A Datasheet"/>
    <hyperlink ref="A1867" r:id="rId_hyperlink_3731" tooltip="ZVN4210G" display="ZVN4210G"/>
    <hyperlink ref="B1867" r:id="rId_hyperlink_3732" tooltip="ZVN4210G Datasheet" display="ZVN4210G Datasheet"/>
    <hyperlink ref="A1868" r:id="rId_hyperlink_3733" tooltip="ZVN4306A" display="ZVN4306A"/>
    <hyperlink ref="B1868" r:id="rId_hyperlink_3734" tooltip="ZVN4306A Datasheet" display="ZVN4306A Datasheet"/>
    <hyperlink ref="A1869" r:id="rId_hyperlink_3735" tooltip="ZVN4306AV" display="ZVN4306AV"/>
    <hyperlink ref="B1869" r:id="rId_hyperlink_3736" tooltip="ZVN4306AV Datasheet" display="ZVN4306AV Datasheet"/>
    <hyperlink ref="A1870" r:id="rId_hyperlink_3737" tooltip="ZVN4306G" display="ZVN4306G"/>
    <hyperlink ref="B1870" r:id="rId_hyperlink_3738" tooltip="ZVN4306G Datasheet" display="ZVN4306G Datasheet"/>
    <hyperlink ref="A1871" r:id="rId_hyperlink_3739" tooltip="ZVN4306GV" display="ZVN4306GV"/>
    <hyperlink ref="B1871" r:id="rId_hyperlink_3740" tooltip="ZVN4306GV Datasheet" display="ZVN4306GV Datasheet"/>
    <hyperlink ref="A1872" r:id="rId_hyperlink_3741" tooltip="ZVN4310A" display="ZVN4310A"/>
    <hyperlink ref="B1872" r:id="rId_hyperlink_3742" tooltip="ZVN4310A Datasheet" display="ZVN4310A Datasheet"/>
    <hyperlink ref="A1873" r:id="rId_hyperlink_3743" tooltip="ZVN4310G" display="ZVN4310G"/>
    <hyperlink ref="B1873" r:id="rId_hyperlink_3744" tooltip="ZVN4310G Datasheet" display="ZVN4310G Datasheet"/>
    <hyperlink ref="A1874" r:id="rId_hyperlink_3745" tooltip="ZVN4424A" display="ZVN4424A"/>
    <hyperlink ref="B1874" r:id="rId_hyperlink_3746" tooltip="ZVN4424A Datasheet" display="ZVN4424A Datasheet"/>
    <hyperlink ref="A1875" r:id="rId_hyperlink_3747" tooltip="ZVN4424G" display="ZVN4424G"/>
    <hyperlink ref="B1875" r:id="rId_hyperlink_3748" tooltip="ZVN4424G Datasheet" display="ZVN4424G Datasheet"/>
    <hyperlink ref="A1876" r:id="rId_hyperlink_3749" tooltip="ZVN4525E6" display="ZVN4525E6"/>
    <hyperlink ref="B1876" r:id="rId_hyperlink_3750" tooltip="ZVN4525E6 Datasheet" display="ZVN4525E6 Datasheet"/>
    <hyperlink ref="A1877" r:id="rId_hyperlink_3751" tooltip="ZVN4525G" display="ZVN4525G"/>
    <hyperlink ref="B1877" r:id="rId_hyperlink_3752" tooltip="ZVN4525G Datasheet" display="ZVN4525G Datasheet"/>
    <hyperlink ref="A1878" r:id="rId_hyperlink_3753" tooltip="ZVN4525Z" display="ZVN4525Z"/>
    <hyperlink ref="B1878" r:id="rId_hyperlink_3754" tooltip="ZVN4525Z Datasheet" display="ZVN4525Z Datasheet"/>
    <hyperlink ref="A1879" r:id="rId_hyperlink_3755" tooltip="ZVNL110A" display="ZVNL110A"/>
    <hyperlink ref="B1879" r:id="rId_hyperlink_3756" tooltip="ZVNL110A Datasheet" display="ZVNL110A Datasheet"/>
    <hyperlink ref="A1880" r:id="rId_hyperlink_3757" tooltip="ZVNL110G" display="ZVNL110G"/>
    <hyperlink ref="B1880" r:id="rId_hyperlink_3758" tooltip="ZVNL110G Datasheet" display="ZVNL110G Datasheet"/>
    <hyperlink ref="A1881" r:id="rId_hyperlink_3759" tooltip="ZVNL120A" display="ZVNL120A"/>
    <hyperlink ref="B1881" r:id="rId_hyperlink_3760" tooltip="ZVNL120A Datasheet" display="ZVNL120A Datasheet"/>
    <hyperlink ref="A1882" r:id="rId_hyperlink_3761" tooltip="ZVNL120G" display="ZVNL120G"/>
    <hyperlink ref="B1882" r:id="rId_hyperlink_3762" tooltip="ZVNL120G Datasheet" display="ZVNL120G Datasheet"/>
    <hyperlink ref="A1883" r:id="rId_hyperlink_3763" tooltip="ZVP0545A" display="ZVP0545A"/>
    <hyperlink ref="B1883" r:id="rId_hyperlink_3764" tooltip="ZVP0545A Datasheet" display="ZVP0545A Datasheet"/>
    <hyperlink ref="A1884" r:id="rId_hyperlink_3765" tooltip="ZVP0545G" display="ZVP0545G"/>
    <hyperlink ref="B1884" r:id="rId_hyperlink_3766" tooltip="ZVP0545G Datasheet" display="ZVP0545G Datasheet"/>
    <hyperlink ref="A1885" r:id="rId_hyperlink_3767" tooltip="ZVP1320F" display="ZVP1320F"/>
    <hyperlink ref="B1885" r:id="rId_hyperlink_3768" tooltip="ZVP1320F Datasheet" display="ZVP1320F Datasheet"/>
    <hyperlink ref="A1886" r:id="rId_hyperlink_3769" tooltip="ZVP1320FQ" display="ZVP1320FQ"/>
    <hyperlink ref="B1886" r:id="rId_hyperlink_3770" tooltip="ZVP1320FQ Datasheet" display="ZVP1320FQ Datasheet"/>
    <hyperlink ref="A1887" r:id="rId_hyperlink_3771" tooltip="ZVP2106A" display="ZVP2106A"/>
    <hyperlink ref="B1887" r:id="rId_hyperlink_3772" tooltip="ZVP2106A Datasheet" display="ZVP2106A Datasheet"/>
    <hyperlink ref="A1888" r:id="rId_hyperlink_3773" tooltip="ZVP2106G" display="ZVP2106G"/>
    <hyperlink ref="B1888" r:id="rId_hyperlink_3774" tooltip="ZVP2106G Datasheet" display="ZVP2106G Datasheet"/>
    <hyperlink ref="A1889" r:id="rId_hyperlink_3775" tooltip="ZVP2110A" display="ZVP2110A"/>
    <hyperlink ref="B1889" r:id="rId_hyperlink_3776" tooltip="ZVP2110A Datasheet" display="ZVP2110A Datasheet"/>
    <hyperlink ref="A1890" r:id="rId_hyperlink_3777" tooltip="ZVP2110G" display="ZVP2110G"/>
    <hyperlink ref="B1890" r:id="rId_hyperlink_3778" tooltip="ZVP2110G Datasheet" display="ZVP2110G Datasheet"/>
    <hyperlink ref="A1891" r:id="rId_hyperlink_3779" tooltip="ZVP2120A" display="ZVP2120A"/>
    <hyperlink ref="B1891" r:id="rId_hyperlink_3780" tooltip="ZVP2120A Datasheet" display="ZVP2120A Datasheet"/>
    <hyperlink ref="A1892" r:id="rId_hyperlink_3781" tooltip="ZVP2120G" display="ZVP2120G"/>
    <hyperlink ref="B1892" r:id="rId_hyperlink_3782" tooltip="ZVP2120G Datasheet" display="ZVP2120G Datasheet"/>
    <hyperlink ref="A1893" r:id="rId_hyperlink_3783" tooltip="ZVP3306A" display="ZVP3306A"/>
    <hyperlink ref="B1893" r:id="rId_hyperlink_3784" tooltip="ZVP3306A Datasheet" display="ZVP3306A Datasheet"/>
    <hyperlink ref="A1894" r:id="rId_hyperlink_3785" tooltip="ZVP3306F" display="ZVP3306F"/>
    <hyperlink ref="B1894" r:id="rId_hyperlink_3786" tooltip="ZVP3306F Datasheet" display="ZVP3306F Datasheet"/>
    <hyperlink ref="A1895" r:id="rId_hyperlink_3787" tooltip="ZVP3310A" display="ZVP3310A"/>
    <hyperlink ref="B1895" r:id="rId_hyperlink_3788" tooltip="ZVP3310A Datasheet" display="ZVP3310A Datasheet"/>
    <hyperlink ref="A1896" r:id="rId_hyperlink_3789" tooltip="ZVP3310F" display="ZVP3310F"/>
    <hyperlink ref="B1896" r:id="rId_hyperlink_3790" tooltip="ZVP3310F Datasheet" display="ZVP3310F Datasheet"/>
    <hyperlink ref="A1897" r:id="rId_hyperlink_3791" tooltip="ZVP3310FQ" display="ZVP3310FQ"/>
    <hyperlink ref="B1897" r:id="rId_hyperlink_3792" tooltip="ZVP3310FQ Datasheet" display="ZVP3310FQ Datasheet"/>
    <hyperlink ref="A1898" r:id="rId_hyperlink_3793" tooltip="ZVP4424A" display="ZVP4424A"/>
    <hyperlink ref="B1898" r:id="rId_hyperlink_3794" tooltip="ZVP4424A Datasheet" display="ZVP4424A Datasheet"/>
    <hyperlink ref="A1899" r:id="rId_hyperlink_3795" tooltip="ZVP4424G" display="ZVP4424G"/>
    <hyperlink ref="B1899" r:id="rId_hyperlink_3796" tooltip="ZVP4424G Datasheet" display="ZVP4424G Datasheet"/>
    <hyperlink ref="A1900" r:id="rId_hyperlink_3797" tooltip="ZVP4424Z" display="ZVP4424Z"/>
    <hyperlink ref="B1900" r:id="rId_hyperlink_3798" tooltip="ZVP4424Z Datasheet" display="ZVP4424Z Datasheet"/>
    <hyperlink ref="A1901" r:id="rId_hyperlink_3799" tooltip="ZVP4525E6" display="ZVP4525E6"/>
    <hyperlink ref="B1901" r:id="rId_hyperlink_3800" tooltip="ZVP4525E6 Datasheet" display="ZVP4525E6 Datasheet"/>
    <hyperlink ref="A1902" r:id="rId_hyperlink_3801" tooltip="ZVP4525G" display="ZVP4525G"/>
    <hyperlink ref="B1902" r:id="rId_hyperlink_3802" tooltip="ZVP4525G Datasheet" display="ZVP4525G Datasheet"/>
    <hyperlink ref="A1903" r:id="rId_hyperlink_3803" tooltip="ZVP4525GQ" display="ZVP4525GQ"/>
    <hyperlink ref="B1903" r:id="rId_hyperlink_3804" tooltip="ZVP4525GQ Datasheet" display="ZVP4525GQ Datasheet"/>
    <hyperlink ref="A1904" r:id="rId_hyperlink_3805" tooltip="ZVP4525Z" display="ZVP4525Z"/>
    <hyperlink ref="B1904" r:id="rId_hyperlink_3806" tooltip="ZVP4525Z Datasheet" display="ZVP4525Z Datasheet"/>
    <hyperlink ref="A1905" r:id="rId_hyperlink_3807" tooltip="ZXM61N02F" display="ZXM61N02F"/>
    <hyperlink ref="B1905" r:id="rId_hyperlink_3808" tooltip="ZXM61N02F Datasheet" display="ZXM61N02F Datasheet"/>
    <hyperlink ref="A1906" r:id="rId_hyperlink_3809" tooltip="ZXM61N03F" display="ZXM61N03F"/>
    <hyperlink ref="B1906" r:id="rId_hyperlink_3810" tooltip="ZXM61N03F Datasheet" display="ZXM61N03F Datasheet"/>
    <hyperlink ref="A1907" r:id="rId_hyperlink_3811" tooltip="ZXM61P02F" display="ZXM61P02F"/>
    <hyperlink ref="B1907" r:id="rId_hyperlink_3812" tooltip="ZXM61P02F Datasheet" display="ZXM61P02F Datasheet"/>
    <hyperlink ref="A1908" r:id="rId_hyperlink_3813" tooltip="ZXM61P03F" display="ZXM61P03F"/>
    <hyperlink ref="B1908" r:id="rId_hyperlink_3814" tooltip="ZXM61P03F Datasheet" display="ZXM61P03F Datasheet"/>
    <hyperlink ref="A1909" r:id="rId_hyperlink_3815" tooltip="ZXM62P02E6" display="ZXM62P02E6"/>
    <hyperlink ref="B1909" r:id="rId_hyperlink_3816" tooltip="ZXM62P02E6 Datasheet" display="ZXM62P02E6 Datasheet"/>
    <hyperlink ref="A1910" r:id="rId_hyperlink_3817" tooltip="ZXM62P03E6" display="ZXM62P03E6"/>
    <hyperlink ref="B1910" r:id="rId_hyperlink_3818" tooltip="ZXM62P03E6 Datasheet" display="ZXM62P03E6 Datasheet"/>
    <hyperlink ref="A1911" r:id="rId_hyperlink_3819" tooltip="ZXM64P02X" display="ZXM64P02X"/>
    <hyperlink ref="B1911" r:id="rId_hyperlink_3820" tooltip="ZXM64P02X Datasheet" display="ZXM64P02X Datasheet"/>
    <hyperlink ref="A1912" r:id="rId_hyperlink_3821" tooltip="ZXM64P03X" display="ZXM64P03X"/>
    <hyperlink ref="B1912" r:id="rId_hyperlink_3822" tooltip="ZXM64P03X Datasheet" display="ZXM64P03X Datasheet"/>
    <hyperlink ref="A1913" r:id="rId_hyperlink_3823" tooltip="ZXMC3A16DN8" display="ZXMC3A16DN8"/>
    <hyperlink ref="B1913" r:id="rId_hyperlink_3824" tooltip="ZXMC3A16DN8 Datasheet" display="ZXMC3A16DN8 Datasheet"/>
    <hyperlink ref="A1914" r:id="rId_hyperlink_3825" tooltip="ZXMC3A16DN8Q" display="ZXMC3A16DN8Q"/>
    <hyperlink ref="B1914" r:id="rId_hyperlink_3826" tooltip="ZXMC3A16DN8Q Datasheet" display="ZXMC3A16DN8Q Datasheet"/>
    <hyperlink ref="A1915" r:id="rId_hyperlink_3827" tooltip="ZXMC3A17DN8" display="ZXMC3A17DN8"/>
    <hyperlink ref="B1915" r:id="rId_hyperlink_3828" tooltip="ZXMC3A17DN8 Datasheet" display="ZXMC3A17DN8 Datasheet"/>
    <hyperlink ref="A1916" r:id="rId_hyperlink_3829" tooltip="ZXMC3A18DN8" display="ZXMC3A18DN8"/>
    <hyperlink ref="B1916" r:id="rId_hyperlink_3830" tooltip="ZXMC3A18DN8 Datasheet" display="ZXMC3A18DN8 Datasheet"/>
    <hyperlink ref="A1917" r:id="rId_hyperlink_3831" tooltip="ZXMC3AMC" display="ZXMC3AMC"/>
    <hyperlink ref="B1917" r:id="rId_hyperlink_3832" tooltip="ZXMC3AMC Datasheet" display="ZXMC3AMC Datasheet"/>
    <hyperlink ref="A1918" r:id="rId_hyperlink_3833" tooltip="ZXMC3F31DN8" display="ZXMC3F31DN8"/>
    <hyperlink ref="B1918" r:id="rId_hyperlink_3834" tooltip="ZXMC3F31DN8 Datasheet" display="ZXMC3F31DN8 Datasheet"/>
    <hyperlink ref="A1919" r:id="rId_hyperlink_3835" tooltip="ZXMC4559DN8" display="ZXMC4559DN8"/>
    <hyperlink ref="B1919" r:id="rId_hyperlink_3836" tooltip="ZXMC4559DN8 Datasheet" display="ZXMC4559DN8 Datasheet"/>
    <hyperlink ref="A1920" r:id="rId_hyperlink_3837" tooltip="ZXMC4A16DN8" display="ZXMC4A16DN8"/>
    <hyperlink ref="B1920" r:id="rId_hyperlink_3838" tooltip="ZXMC4A16DN8 Datasheet" display="ZXMC4A16DN8 Datasheet"/>
    <hyperlink ref="A1921" r:id="rId_hyperlink_3839" tooltip="ZXMC6A09DN8" display="ZXMC6A09DN8"/>
    <hyperlink ref="B1921" r:id="rId_hyperlink_3840" tooltip="ZXMC6A09DN8 Datasheet" display="ZXMC6A09DN8 Datasheet"/>
    <hyperlink ref="A1922" r:id="rId_hyperlink_3841" tooltip="ZXMD63N03X" display="ZXMD63N03X"/>
    <hyperlink ref="B1922" r:id="rId_hyperlink_3842" tooltip="ZXMD63N03X Datasheet" display="ZXMD63N03X Datasheet"/>
    <hyperlink ref="A1923" r:id="rId_hyperlink_3843" tooltip="ZXMHC10A07N8" display="ZXMHC10A07N8"/>
    <hyperlink ref="B1923" r:id="rId_hyperlink_3844" tooltip="ZXMHC10A07N8 Datasheet" display="ZXMHC10A07N8 Datasheet"/>
    <hyperlink ref="A1924" r:id="rId_hyperlink_3845" tooltip="ZXMHC10A07T8" display="ZXMHC10A07T8"/>
    <hyperlink ref="B1924" r:id="rId_hyperlink_3846" tooltip="ZXMHC10A07T8 Datasheet" display="ZXMHC10A07T8 Datasheet"/>
    <hyperlink ref="A1925" r:id="rId_hyperlink_3847" tooltip="ZXMHC3A01N8" display="ZXMHC3A01N8"/>
    <hyperlink ref="B1925" r:id="rId_hyperlink_3848" tooltip="ZXMHC3A01N8 Datasheet" display="ZXMHC3A01N8 Datasheet"/>
    <hyperlink ref="A1926" r:id="rId_hyperlink_3849" tooltip="ZXMHC3A01T8" display="ZXMHC3A01T8"/>
    <hyperlink ref="B1926" r:id="rId_hyperlink_3850" tooltip="ZXMHC3A01T8 Datasheet" display="ZXMHC3A01T8 Datasheet"/>
    <hyperlink ref="A1927" r:id="rId_hyperlink_3851" tooltip="ZXMHC3F381N8" display="ZXMHC3F381N8"/>
    <hyperlink ref="B1927" r:id="rId_hyperlink_3852" tooltip="ZXMHC3F381N8 Datasheet" display="ZXMHC3F381N8 Datasheet"/>
    <hyperlink ref="A1928" r:id="rId_hyperlink_3853" tooltip="ZXMHC6A07N8" display="ZXMHC6A07N8"/>
    <hyperlink ref="B1928" r:id="rId_hyperlink_3854" tooltip="ZXMHC6A07N8 Datasheet" display="ZXMHC6A07N8 Datasheet"/>
    <hyperlink ref="A1929" r:id="rId_hyperlink_3855" tooltip="ZXMHC6A07T8" display="ZXMHC6A07T8"/>
    <hyperlink ref="B1929" r:id="rId_hyperlink_3856" tooltip="ZXMHC6A07T8 Datasheet" display="ZXMHC6A07T8 Datasheet"/>
    <hyperlink ref="A1930" r:id="rId_hyperlink_3857" tooltip="ZXMHN6A07T8" display="ZXMHN6A07T8"/>
    <hyperlink ref="B1930" r:id="rId_hyperlink_3858" tooltip="ZXMHN6A07T8 Datasheet" display="ZXMHN6A07T8 Datasheet"/>
    <hyperlink ref="A1931" r:id="rId_hyperlink_3859" tooltip="ZXMN10A07F" display="ZXMN10A07F"/>
    <hyperlink ref="B1931" r:id="rId_hyperlink_3860" tooltip="ZXMN10A07F Datasheet" display="ZXMN10A07F Datasheet"/>
    <hyperlink ref="A1932" r:id="rId_hyperlink_3861" tooltip="ZXMN10A07Z" display="ZXMN10A07Z"/>
    <hyperlink ref="B1932" r:id="rId_hyperlink_3862" tooltip="ZXMN10A07Z Datasheet" display="ZXMN10A07Z Datasheet"/>
    <hyperlink ref="A1933" r:id="rId_hyperlink_3863" tooltip="ZXMN10A08DN8" display="ZXMN10A08DN8"/>
    <hyperlink ref="B1933" r:id="rId_hyperlink_3864" tooltip="ZXMN10A08DN8 Datasheet" display="ZXMN10A08DN8 Datasheet"/>
    <hyperlink ref="A1934" r:id="rId_hyperlink_3865" tooltip="ZXMN10A08E6" display="ZXMN10A08E6"/>
    <hyperlink ref="B1934" r:id="rId_hyperlink_3866" tooltip="ZXMN10A08E6 Datasheet" display="ZXMN10A08E6 Datasheet"/>
    <hyperlink ref="A1935" r:id="rId_hyperlink_3867" tooltip="ZXMN10A08G" display="ZXMN10A08G"/>
    <hyperlink ref="B1935" r:id="rId_hyperlink_3868" tooltip="ZXMN10A08G Datasheet" display="ZXMN10A08G Datasheet"/>
    <hyperlink ref="A1936" r:id="rId_hyperlink_3869" tooltip="ZXMN10A09K" display="ZXMN10A09K"/>
    <hyperlink ref="B1936" r:id="rId_hyperlink_3870" tooltip="ZXMN10A09K Datasheet" display="ZXMN10A09K Datasheet"/>
    <hyperlink ref="A1937" r:id="rId_hyperlink_3871" tooltip="ZXMN10A11G" display="ZXMN10A11G"/>
    <hyperlink ref="B1937" r:id="rId_hyperlink_3872" tooltip="ZXMN10A11G Datasheet" display="ZXMN10A11G Datasheet"/>
    <hyperlink ref="A1938" r:id="rId_hyperlink_3873" tooltip="ZXMN10A11K" display="ZXMN10A11K"/>
    <hyperlink ref="B1938" r:id="rId_hyperlink_3874" tooltip="ZXMN10A11K Datasheet" display="ZXMN10A11K Datasheet"/>
    <hyperlink ref="A1939" r:id="rId_hyperlink_3875" tooltip="ZXMN10A25G" display="ZXMN10A25G"/>
    <hyperlink ref="B1939" r:id="rId_hyperlink_3876" tooltip="ZXMN10A25G Datasheet" display="ZXMN10A25G Datasheet"/>
    <hyperlink ref="A1940" r:id="rId_hyperlink_3877" tooltip="ZXMN10A25K" display="ZXMN10A25K"/>
    <hyperlink ref="B1940" r:id="rId_hyperlink_3878" tooltip="ZXMN10A25K Datasheet" display="ZXMN10A25K Datasheet"/>
    <hyperlink ref="A1941" r:id="rId_hyperlink_3879" tooltip="ZXMN10B08E6" display="ZXMN10B08E6"/>
    <hyperlink ref="B1941" r:id="rId_hyperlink_3880" tooltip="ZXMN10B08E6 Datasheet" display="ZXMN10B08E6 Datasheet"/>
    <hyperlink ref="A1942" r:id="rId_hyperlink_3881" tooltip="ZXMN15A27K" display="ZXMN15A27K"/>
    <hyperlink ref="B1942" r:id="rId_hyperlink_3882" tooltip="ZXMN15A27K Datasheet" display="ZXMN15A27K Datasheet"/>
    <hyperlink ref="A1943" r:id="rId_hyperlink_3883" tooltip="ZXMN20B28K" display="ZXMN20B28K"/>
    <hyperlink ref="B1943" r:id="rId_hyperlink_3884" tooltip="ZXMN20B28K Datasheet" display="ZXMN20B28K Datasheet"/>
    <hyperlink ref="A1944" r:id="rId_hyperlink_3885" tooltip="ZXMN2A01E6" display="ZXMN2A01E6"/>
    <hyperlink ref="B1944" r:id="rId_hyperlink_3886" tooltip="ZXMN2A01E6 Datasheet" display="ZXMN2A01E6 Datasheet"/>
    <hyperlink ref="A1945" r:id="rId_hyperlink_3887" tooltip="ZXMN2A01F" display="ZXMN2A01F"/>
    <hyperlink ref="B1945" r:id="rId_hyperlink_3888" tooltip="ZXMN2A01F Datasheet" display="ZXMN2A01F Datasheet"/>
    <hyperlink ref="A1946" r:id="rId_hyperlink_3889" tooltip="ZXMN2A02N8" display="ZXMN2A02N8"/>
    <hyperlink ref="B1946" r:id="rId_hyperlink_3890" tooltip="ZXMN2A02N8 Datasheet" display="ZXMN2A02N8 Datasheet"/>
    <hyperlink ref="A1947" r:id="rId_hyperlink_3891" tooltip="ZXMN2A03E6" display="ZXMN2A03E6"/>
    <hyperlink ref="B1947" r:id="rId_hyperlink_3892" tooltip="ZXMN2A03E6 Datasheet" display="ZXMN2A03E6 Datasheet"/>
    <hyperlink ref="A1948" r:id="rId_hyperlink_3893" tooltip="ZXMN2A04DN8" display="ZXMN2A04DN8"/>
    <hyperlink ref="B1948" r:id="rId_hyperlink_3894" tooltip="ZXMN2A04DN8 Datasheet" display="ZXMN2A04DN8 Datasheet"/>
    <hyperlink ref="A1949" r:id="rId_hyperlink_3895" tooltip="ZXMN2A14F" display="ZXMN2A14F"/>
    <hyperlink ref="B1949" r:id="rId_hyperlink_3896" tooltip="ZXMN2A14F Datasheet" display="ZXMN2A14F Datasheet"/>
    <hyperlink ref="A1950" r:id="rId_hyperlink_3897" tooltip="ZXMN2AMC" display="ZXMN2AMC"/>
    <hyperlink ref="B1950" r:id="rId_hyperlink_3898" tooltip="ZXMN2AMC Datasheet" display="ZXMN2AMC Datasheet"/>
    <hyperlink ref="A1951" r:id="rId_hyperlink_3899" tooltip="ZXMN2B01F" display="ZXMN2B01F"/>
    <hyperlink ref="B1951" r:id="rId_hyperlink_3900" tooltip="ZXMN2B01F Datasheet" display="ZXMN2B01F Datasheet"/>
    <hyperlink ref="A1952" r:id="rId_hyperlink_3901" tooltip="ZXMN2B03E6" display="ZXMN2B03E6"/>
    <hyperlink ref="B1952" r:id="rId_hyperlink_3902" tooltip="ZXMN2B03E6 Datasheet" display="ZXMN2B03E6 Datasheet"/>
    <hyperlink ref="A1953" r:id="rId_hyperlink_3903" tooltip="ZXMN2B14FH" display="ZXMN2B14FH"/>
    <hyperlink ref="B1953" r:id="rId_hyperlink_3904" tooltip="ZXMN2B14FH Datasheet" display="ZXMN2B14FH Datasheet"/>
    <hyperlink ref="A1954" r:id="rId_hyperlink_3905" tooltip="ZXMN2F30FH" display="ZXMN2F30FH"/>
    <hyperlink ref="B1954" r:id="rId_hyperlink_3906" tooltip="ZXMN2F30FH Datasheet" display="ZXMN2F30FH Datasheet"/>
    <hyperlink ref="A1955" r:id="rId_hyperlink_3907" tooltip="ZXMN2F34FH" display="ZXMN2F34FH"/>
    <hyperlink ref="B1955" r:id="rId_hyperlink_3908" tooltip="ZXMN2F34FH Datasheet" display="ZXMN2F34FH Datasheet"/>
    <hyperlink ref="A1956" r:id="rId_hyperlink_3909" tooltip="ZXMN3A01E6" display="ZXMN3A01E6"/>
    <hyperlink ref="B1956" r:id="rId_hyperlink_3910" tooltip="ZXMN3A01E6 Datasheet" display="ZXMN3A01E6 Datasheet"/>
    <hyperlink ref="A1957" r:id="rId_hyperlink_3911" tooltip="ZXMN3A01F" display="ZXMN3A01F"/>
    <hyperlink ref="B1957" r:id="rId_hyperlink_3912" tooltip="ZXMN3A01F Datasheet" display="ZXMN3A01F Datasheet"/>
    <hyperlink ref="A1958" r:id="rId_hyperlink_3913" tooltip="ZXMN3A01Z" display="ZXMN3A01Z"/>
    <hyperlink ref="B1958" r:id="rId_hyperlink_3914" tooltip="ZXMN3A01Z Datasheet" display="ZXMN3A01Z Datasheet"/>
    <hyperlink ref="A1959" r:id="rId_hyperlink_3915" tooltip="ZXMN3A02X8" display="ZXMN3A02X8"/>
    <hyperlink ref="B1959" r:id="rId_hyperlink_3916" tooltip="ZXMN3A02X8 Datasheet" display="ZXMN3A02X8 Datasheet"/>
    <hyperlink ref="A1960" r:id="rId_hyperlink_3917" tooltip="ZXMN3A03E6" display="ZXMN3A03E6"/>
    <hyperlink ref="B1960" r:id="rId_hyperlink_3918" tooltip="ZXMN3A03E6 Datasheet" display="ZXMN3A03E6 Datasheet"/>
    <hyperlink ref="A1961" r:id="rId_hyperlink_3919" tooltip="ZXMN3A04DN8" display="ZXMN3A04DN8"/>
    <hyperlink ref="B1961" r:id="rId_hyperlink_3920" tooltip="ZXMN3A04DN8 Datasheet" display="ZXMN3A04DN8 Datasheet"/>
    <hyperlink ref="A1962" r:id="rId_hyperlink_3921" tooltip="ZXMN3A04K" display="ZXMN3A04K"/>
    <hyperlink ref="B1962" r:id="rId_hyperlink_3922" tooltip="ZXMN3A04K Datasheet" display="ZXMN3A04K Datasheet"/>
    <hyperlink ref="A1963" r:id="rId_hyperlink_3923" tooltip="ZXMN3A06DN8" display="ZXMN3A06DN8"/>
    <hyperlink ref="B1963" r:id="rId_hyperlink_3924" tooltip="ZXMN3A06DN8 Datasheet" display="ZXMN3A06DN8 Datasheet"/>
    <hyperlink ref="A1964" r:id="rId_hyperlink_3925" tooltip="ZXMN3A14F" display="ZXMN3A14F"/>
    <hyperlink ref="B1964" r:id="rId_hyperlink_3926" tooltip="ZXMN3A14F Datasheet" display="ZXMN3A14F Datasheet"/>
    <hyperlink ref="A1965" r:id="rId_hyperlink_3927" tooltip="ZXMN3A14FQ" display="ZXMN3A14FQ"/>
    <hyperlink ref="B1965" r:id="rId_hyperlink_3928" tooltip="ZXMN3A14FQ Datasheet" display="ZXMN3A14FQ Datasheet"/>
    <hyperlink ref="A1966" r:id="rId_hyperlink_3929" tooltip="ZXMN3AMC" display="ZXMN3AMC"/>
    <hyperlink ref="B1966" r:id="rId_hyperlink_3930" tooltip="ZXMN3AMC Datasheet" display="ZXMN3AMC Datasheet"/>
    <hyperlink ref="A1967" r:id="rId_hyperlink_3931" tooltip="ZXMN3B01F" display="ZXMN3B01F"/>
    <hyperlink ref="B1967" r:id="rId_hyperlink_3932" tooltip="ZXMN3B01F Datasheet" display="ZXMN3B01F Datasheet"/>
    <hyperlink ref="A1968" r:id="rId_hyperlink_3933" tooltip="ZXMN3B04N8" display="ZXMN3B04N8"/>
    <hyperlink ref="B1968" r:id="rId_hyperlink_3934" tooltip="ZXMN3B04N8 Datasheet" display="ZXMN3B04N8 Datasheet"/>
    <hyperlink ref="A1969" r:id="rId_hyperlink_3935" tooltip="ZXMN3B14F" display="ZXMN3B14F"/>
    <hyperlink ref="B1969" r:id="rId_hyperlink_3936" tooltip="ZXMN3B14F Datasheet" display="ZXMN3B14F Datasheet"/>
    <hyperlink ref="A1970" r:id="rId_hyperlink_3937" tooltip="ZXMN3F30FH" display="ZXMN3F30FH"/>
    <hyperlink ref="B1970" r:id="rId_hyperlink_3938" tooltip="ZXMN3F30FH Datasheet" display="ZXMN3F30FH Datasheet"/>
    <hyperlink ref="A1971" r:id="rId_hyperlink_3939" tooltip="ZXMN3F31DN8" display="ZXMN3F31DN8"/>
    <hyperlink ref="B1971" r:id="rId_hyperlink_3940" tooltip="ZXMN3F31DN8 Datasheet" display="ZXMN3F31DN8 Datasheet"/>
    <hyperlink ref="A1972" r:id="rId_hyperlink_3941" tooltip="ZXMN3G32DN8" display="ZXMN3G32DN8"/>
    <hyperlink ref="B1972" r:id="rId_hyperlink_3942" tooltip="ZXMN3G32DN8 Datasheet" display="ZXMN3G32DN8 Datasheet"/>
    <hyperlink ref="A1973" r:id="rId_hyperlink_3943" tooltip="ZXMN4A06G" display="ZXMN4A06G"/>
    <hyperlink ref="B1973" r:id="rId_hyperlink_3944" tooltip="ZXMN4A06G Datasheet" display="ZXMN4A06G Datasheet"/>
    <hyperlink ref="A1974" r:id="rId_hyperlink_3945" tooltip="ZXMN4A06GQ" display="ZXMN4A06GQ"/>
    <hyperlink ref="B1974" r:id="rId_hyperlink_3946" tooltip="ZXMN4A06GQ Datasheet" display="ZXMN4A06GQ Datasheet"/>
    <hyperlink ref="A1975" r:id="rId_hyperlink_3947" tooltip="ZXMN4A06K" display="ZXMN4A06K"/>
    <hyperlink ref="B1975" r:id="rId_hyperlink_3948" tooltip="ZXMN4A06K Datasheet" display="ZXMN4A06K Datasheet"/>
    <hyperlink ref="A1976" r:id="rId_hyperlink_3949" tooltip="ZXMN6A07F" display="ZXMN6A07F"/>
    <hyperlink ref="B1976" r:id="rId_hyperlink_3950" tooltip="ZXMN6A07F Datasheet" display="ZXMN6A07F Datasheet"/>
    <hyperlink ref="A1977" r:id="rId_hyperlink_3951" tooltip="ZXMN6A07FQ" display="ZXMN6A07FQ"/>
    <hyperlink ref="B1977" r:id="rId_hyperlink_3952" tooltip="ZXMN6A07FQ Datasheet" display="ZXMN6A07FQ Datasheet"/>
    <hyperlink ref="A1978" r:id="rId_hyperlink_3953" tooltip="ZXMN6A07Z" display="ZXMN6A07Z"/>
    <hyperlink ref="B1978" r:id="rId_hyperlink_3954" tooltip="ZXMN6A07Z Datasheet" display="ZXMN6A07Z Datasheet"/>
    <hyperlink ref="A1979" r:id="rId_hyperlink_3955" tooltip="ZXMN6A08E6" display="ZXMN6A08E6"/>
    <hyperlink ref="B1979" r:id="rId_hyperlink_3956" tooltip="ZXMN6A08E6 Datasheet" display="ZXMN6A08E6 Datasheet"/>
    <hyperlink ref="A1980" r:id="rId_hyperlink_3957" tooltip="ZXMN6A08E6Q" display="ZXMN6A08E6Q"/>
    <hyperlink ref="B1980" r:id="rId_hyperlink_3958" tooltip="ZXMN6A08E6Q Datasheet" display="ZXMN6A08E6Q Datasheet"/>
    <hyperlink ref="A1981" r:id="rId_hyperlink_3959" tooltip="ZXMN6A08G" display="ZXMN6A08G"/>
    <hyperlink ref="B1981" r:id="rId_hyperlink_3960" tooltip="ZXMN6A08G Datasheet" display="ZXMN6A08G Datasheet"/>
    <hyperlink ref="A1982" r:id="rId_hyperlink_3961" tooltip="ZXMN6A08GQ" display="ZXMN6A08GQ"/>
    <hyperlink ref="B1982" r:id="rId_hyperlink_3962" tooltip="ZXMN6A08GQ Datasheet" display="ZXMN6A08GQ Datasheet"/>
    <hyperlink ref="A1983" r:id="rId_hyperlink_3963" tooltip="ZXMN6A08K" display="ZXMN6A08K"/>
    <hyperlink ref="B1983" r:id="rId_hyperlink_3964" tooltip="ZXMN6A08K Datasheet" display="ZXMN6A08K Datasheet"/>
    <hyperlink ref="A1984" r:id="rId_hyperlink_3965" tooltip="ZXMN6A09DN8" display="ZXMN6A09DN8"/>
    <hyperlink ref="B1984" r:id="rId_hyperlink_3966" tooltip="ZXMN6A09DN8 Datasheet" display="ZXMN6A09DN8 Datasheet"/>
    <hyperlink ref="A1985" r:id="rId_hyperlink_3967" tooltip="ZXMN6A09G" display="ZXMN6A09G"/>
    <hyperlink ref="B1985" r:id="rId_hyperlink_3968" tooltip="ZXMN6A09G Datasheet" display="ZXMN6A09G Datasheet"/>
    <hyperlink ref="A1986" r:id="rId_hyperlink_3969" tooltip="ZXMN6A09GQ" display="ZXMN6A09GQ"/>
    <hyperlink ref="B1986" r:id="rId_hyperlink_3970" tooltip="ZXMN6A09GQ Datasheet" display="ZXMN6A09GQ Datasheet"/>
    <hyperlink ref="A1987" r:id="rId_hyperlink_3971" tooltip="ZXMN6A09K" display="ZXMN6A09K"/>
    <hyperlink ref="B1987" r:id="rId_hyperlink_3972" tooltip="ZXMN6A09K Datasheet" display="ZXMN6A09K Datasheet"/>
    <hyperlink ref="A1988" r:id="rId_hyperlink_3973" tooltip="ZXMN6A11DN8" display="ZXMN6A11DN8"/>
    <hyperlink ref="B1988" r:id="rId_hyperlink_3974" tooltip="ZXMN6A11DN8 Datasheet" display="ZXMN6A11DN8 Datasheet"/>
    <hyperlink ref="A1989" r:id="rId_hyperlink_3975" tooltip="ZXMN6A11G" display="ZXMN6A11G"/>
    <hyperlink ref="B1989" r:id="rId_hyperlink_3976" tooltip="ZXMN6A11G Datasheet" display="ZXMN6A11G Datasheet"/>
    <hyperlink ref="A1990" r:id="rId_hyperlink_3977" tooltip="ZXMN6A11Z" display="ZXMN6A11Z"/>
    <hyperlink ref="B1990" r:id="rId_hyperlink_3978" tooltip="ZXMN6A11Z Datasheet" display="ZXMN6A11Z Datasheet"/>
    <hyperlink ref="A1991" r:id="rId_hyperlink_3979" tooltip="ZXMN6A25DN8" display="ZXMN6A25DN8"/>
    <hyperlink ref="B1991" r:id="rId_hyperlink_3980" tooltip="ZXMN6A25DN8 Datasheet" display="ZXMN6A25DN8 Datasheet"/>
    <hyperlink ref="A1992" r:id="rId_hyperlink_3981" tooltip="ZXMN6A25G" display="ZXMN6A25G"/>
    <hyperlink ref="B1992" r:id="rId_hyperlink_3982" tooltip="ZXMN6A25G Datasheet" display="ZXMN6A25G Datasheet"/>
    <hyperlink ref="A1993" r:id="rId_hyperlink_3983" tooltip="ZXMN6A25K" display="ZXMN6A25K"/>
    <hyperlink ref="B1993" r:id="rId_hyperlink_3984" tooltip="ZXMN6A25K Datasheet" display="ZXMN6A25K Datasheet"/>
    <hyperlink ref="A1994" r:id="rId_hyperlink_3985" tooltip="ZXMN6A25N8" display="ZXMN6A25N8"/>
    <hyperlink ref="B1994" r:id="rId_hyperlink_3986" tooltip="ZXMN6A25N8 Datasheet" display="ZXMN6A25N8 Datasheet"/>
    <hyperlink ref="A1995" r:id="rId_hyperlink_3987" tooltip="ZXMN7A11G" display="ZXMN7A11G"/>
    <hyperlink ref="B1995" r:id="rId_hyperlink_3988" tooltip="ZXMN7A11G Datasheet" display="ZXMN7A11G Datasheet"/>
    <hyperlink ref="A1996" r:id="rId_hyperlink_3989" tooltip="ZXMN7A11GQ" display="ZXMN7A11GQ"/>
    <hyperlink ref="B1996" r:id="rId_hyperlink_3990" tooltip="ZXMN7A11GQ Datasheet" display="ZXMN7A11GQ Datasheet"/>
    <hyperlink ref="A1997" r:id="rId_hyperlink_3991" tooltip="ZXMN7A11K" display="ZXMN7A11K"/>
    <hyperlink ref="B1997" r:id="rId_hyperlink_3992" tooltip="ZXMN7A11K Datasheet" display="ZXMN7A11K Datasheet"/>
    <hyperlink ref="A1998" r:id="rId_hyperlink_3993" tooltip="ZXMP10A13F" display="ZXMP10A13F"/>
    <hyperlink ref="B1998" r:id="rId_hyperlink_3994" tooltip="ZXMP10A13F Datasheet" display="ZXMP10A13F Datasheet"/>
    <hyperlink ref="A1999" r:id="rId_hyperlink_3995" tooltip="ZXMP10A13FQ" display="ZXMP10A13FQ"/>
    <hyperlink ref="B1999" r:id="rId_hyperlink_3996" tooltip="ZXMP10A13FQ Datasheet" display="ZXMP10A13FQ Datasheet"/>
    <hyperlink ref="A2000" r:id="rId_hyperlink_3997" tooltip="ZXMP10A16K" display="ZXMP10A16K"/>
    <hyperlink ref="B2000" r:id="rId_hyperlink_3998" tooltip="ZXMP10A16K Datasheet" display="ZXMP10A16K Datasheet"/>
    <hyperlink ref="A2001" r:id="rId_hyperlink_3999" tooltip="ZXMP10A17E6" display="ZXMP10A17E6"/>
    <hyperlink ref="B2001" r:id="rId_hyperlink_4000" tooltip="ZXMP10A17E6 Datasheet" display="ZXMP10A17E6 Datasheet"/>
    <hyperlink ref="A2002" r:id="rId_hyperlink_4001" tooltip="ZXMP10A17E6Q" display="ZXMP10A17E6Q"/>
    <hyperlink ref="B2002" r:id="rId_hyperlink_4002" tooltip="ZXMP10A17E6Q Datasheet" display="ZXMP10A17E6Q Datasheet"/>
    <hyperlink ref="A2003" r:id="rId_hyperlink_4003" tooltip="ZXMP10A17G" display="ZXMP10A17G"/>
    <hyperlink ref="B2003" r:id="rId_hyperlink_4004" tooltip="ZXMP10A17G Datasheet" display="ZXMP10A17G Datasheet"/>
    <hyperlink ref="A2004" r:id="rId_hyperlink_4005" tooltip="ZXMP10A17GQ" display="ZXMP10A17GQ"/>
    <hyperlink ref="B2004" r:id="rId_hyperlink_4006" tooltip="ZXMP10A17GQ Datasheet" display="ZXMP10A17GQ Datasheet"/>
    <hyperlink ref="A2005" r:id="rId_hyperlink_4007" tooltip="ZXMP10A17K" display="ZXMP10A17K"/>
    <hyperlink ref="B2005" r:id="rId_hyperlink_4008" tooltip="ZXMP10A17K Datasheet" display="ZXMP10A17K Datasheet"/>
    <hyperlink ref="A2006" r:id="rId_hyperlink_4009" tooltip="ZXMP10A18G" display="ZXMP10A18G"/>
    <hyperlink ref="B2006" r:id="rId_hyperlink_4010" tooltip="ZXMP10A18G Datasheet" display="ZXMP10A18G Datasheet"/>
    <hyperlink ref="A2007" r:id="rId_hyperlink_4011" tooltip="ZXMP10A18K" display="ZXMP10A18K"/>
    <hyperlink ref="B2007" r:id="rId_hyperlink_4012" tooltip="ZXMP10A18K Datasheet" display="ZXMP10A18K Datasheet"/>
    <hyperlink ref="A2008" r:id="rId_hyperlink_4013" tooltip="ZXMP10A18KQ" display="ZXMP10A18KQ"/>
    <hyperlink ref="B2008" r:id="rId_hyperlink_4014" tooltip="ZXMP10A18KQ Datasheet" display="ZXMP10A18KQ Datasheet"/>
    <hyperlink ref="A2009" r:id="rId_hyperlink_4015" tooltip="ZXMP2120FF" display="ZXMP2120FF"/>
    <hyperlink ref="B2009" r:id="rId_hyperlink_4016" tooltip="ZXMP2120FF Datasheet" display="ZXMP2120FF Datasheet"/>
    <hyperlink ref="A2010" r:id="rId_hyperlink_4017" tooltip="ZXMP3A13F" display="ZXMP3A13F"/>
    <hyperlink ref="B2010" r:id="rId_hyperlink_4018" tooltip="ZXMP3A13F Datasheet" display="ZXMP3A13F Datasheet"/>
    <hyperlink ref="A2011" r:id="rId_hyperlink_4019" tooltip="ZXMP3A16DN8" display="ZXMP3A16DN8"/>
    <hyperlink ref="B2011" r:id="rId_hyperlink_4020" tooltip="ZXMP3A16DN8 Datasheet" display="ZXMP3A16DN8 Datasheet"/>
    <hyperlink ref="A2012" r:id="rId_hyperlink_4021" tooltip="ZXMP3A16G" display="ZXMP3A16G"/>
    <hyperlink ref="B2012" r:id="rId_hyperlink_4022" tooltip="ZXMP3A16G Datasheet" display="ZXMP3A16G Datasheet"/>
    <hyperlink ref="A2013" r:id="rId_hyperlink_4023" tooltip="ZXMP3A16N8" display="ZXMP3A16N8"/>
    <hyperlink ref="B2013" r:id="rId_hyperlink_4024" tooltip="ZXMP3A16N8 Datasheet" display="ZXMP3A16N8 Datasheet"/>
    <hyperlink ref="A2014" r:id="rId_hyperlink_4025" tooltip="ZXMP3A17DN8" display="ZXMP3A17DN8"/>
    <hyperlink ref="B2014" r:id="rId_hyperlink_4026" tooltip="ZXMP3A17DN8 Datasheet" display="ZXMP3A17DN8 Datasheet"/>
    <hyperlink ref="A2015" r:id="rId_hyperlink_4027" tooltip="ZXMP3A17E6" display="ZXMP3A17E6"/>
    <hyperlink ref="B2015" r:id="rId_hyperlink_4028" tooltip="ZXMP3A17E6 Datasheet" display="ZXMP3A17E6 Datasheet"/>
    <hyperlink ref="A2016" r:id="rId_hyperlink_4029" tooltip="ZXMP3F30FH" display="ZXMP3F30FH"/>
    <hyperlink ref="B2016" r:id="rId_hyperlink_4030" tooltip="ZXMP3F30FH Datasheet" display="ZXMP3F30FH Datasheet"/>
    <hyperlink ref="A2017" r:id="rId_hyperlink_4031" tooltip="ZXMP4A16G" display="ZXMP4A16G"/>
    <hyperlink ref="B2017" r:id="rId_hyperlink_4032" tooltip="ZXMP4A16G Datasheet" display="ZXMP4A16G Datasheet"/>
    <hyperlink ref="A2018" r:id="rId_hyperlink_4033" tooltip="ZXMP4A16GQ" display="ZXMP4A16GQ"/>
    <hyperlink ref="B2018" r:id="rId_hyperlink_4034" tooltip="ZXMP4A16GQ Datasheet" display="ZXMP4A16GQ Datasheet"/>
    <hyperlink ref="A2019" r:id="rId_hyperlink_4035" tooltip="ZXMP4A16K" display="ZXMP4A16K"/>
    <hyperlink ref="B2019" r:id="rId_hyperlink_4036" tooltip="ZXMP4A16K Datasheet" display="ZXMP4A16K Datasheet"/>
    <hyperlink ref="A2020" r:id="rId_hyperlink_4037" tooltip="ZXMP4A57E6" display="ZXMP4A57E6"/>
    <hyperlink ref="B2020" r:id="rId_hyperlink_4038" tooltip="ZXMP4A57E6 Datasheet" display="ZXMP4A57E6 Datasheet"/>
    <hyperlink ref="A2021" r:id="rId_hyperlink_4039" tooltip="ZXMP6A13F" display="ZXMP6A13F"/>
    <hyperlink ref="B2021" r:id="rId_hyperlink_4040" tooltip="ZXMP6A13F Datasheet" display="ZXMP6A13F Datasheet"/>
    <hyperlink ref="A2022" r:id="rId_hyperlink_4041" tooltip="ZXMP6A13FQ" display="ZXMP6A13FQ"/>
    <hyperlink ref="B2022" r:id="rId_hyperlink_4042" tooltip="ZXMP6A13FQ Datasheet" display="ZXMP6A13FQ Datasheet"/>
    <hyperlink ref="A2023" r:id="rId_hyperlink_4043" tooltip="ZXMP6A13G" display="ZXMP6A13G"/>
    <hyperlink ref="B2023" r:id="rId_hyperlink_4044" tooltip="ZXMP6A13G Datasheet" display="ZXMP6A13G Datasheet"/>
    <hyperlink ref="A2024" r:id="rId_hyperlink_4045" tooltip="ZXMP6A16DN8" display="ZXMP6A16DN8"/>
    <hyperlink ref="B2024" r:id="rId_hyperlink_4046" tooltip="ZXMP6A16DN8 Datasheet" display="ZXMP6A16DN8 Datasheet"/>
    <hyperlink ref="A2025" r:id="rId_hyperlink_4047" tooltip="ZXMP6A16DN8Q" display="ZXMP6A16DN8Q"/>
    <hyperlink ref="B2025" r:id="rId_hyperlink_4048" tooltip="ZXMP6A16DN8Q Datasheet" display="ZXMP6A16DN8Q Datasheet"/>
    <hyperlink ref="A2026" r:id="rId_hyperlink_4049" tooltip="ZXMP6A16K" display="ZXMP6A16K"/>
    <hyperlink ref="B2026" r:id="rId_hyperlink_4050" tooltip="ZXMP6A16K Datasheet" display="ZXMP6A16K Datasheet"/>
    <hyperlink ref="A2027" r:id="rId_hyperlink_4051" tooltip="ZXMP6A17DN8" display="ZXMP6A17DN8"/>
    <hyperlink ref="B2027" r:id="rId_hyperlink_4052" tooltip="ZXMP6A17DN8 Datasheet" display="ZXMP6A17DN8 Datasheet"/>
    <hyperlink ref="A2028" r:id="rId_hyperlink_4053" tooltip="ZXMP6A17E6" display="ZXMP6A17E6"/>
    <hyperlink ref="B2028" r:id="rId_hyperlink_4054" tooltip="ZXMP6A17E6 Datasheet" display="ZXMP6A17E6 Datasheet"/>
    <hyperlink ref="A2029" r:id="rId_hyperlink_4055" tooltip="ZXMP6A17E6Q" display="ZXMP6A17E6Q"/>
    <hyperlink ref="B2029" r:id="rId_hyperlink_4056" tooltip="ZXMP6A17E6Q Datasheet" display="ZXMP6A17E6Q Datasheet"/>
    <hyperlink ref="A2030" r:id="rId_hyperlink_4057" tooltip="ZXMP6A17G" display="ZXMP6A17G"/>
    <hyperlink ref="B2030" r:id="rId_hyperlink_4058" tooltip="ZXMP6A17G Datasheet" display="ZXMP6A17G Datasheet"/>
    <hyperlink ref="A2031" r:id="rId_hyperlink_4059" tooltip="ZXMP6A17GQ" display="ZXMP6A17GQ"/>
    <hyperlink ref="B2031" r:id="rId_hyperlink_4060" tooltip="ZXMP6A17GQ Datasheet" display="ZXMP6A17GQ Datasheet"/>
    <hyperlink ref="A2032" r:id="rId_hyperlink_4061" tooltip="ZXMP6A17K" display="ZXMP6A17K"/>
    <hyperlink ref="B2032" r:id="rId_hyperlink_4062" tooltip="ZXMP6A17K Datasheet" display="ZXMP6A17K Datasheet"/>
    <hyperlink ref="A2033" r:id="rId_hyperlink_4063" tooltip="ZXMP6A17N8" display="ZXMP6A17N8"/>
    <hyperlink ref="B2033" r:id="rId_hyperlink_4064" tooltip="ZXMP6A17N8 Datasheet" display="ZXMP6A17N8 Datasheet"/>
    <hyperlink ref="A2034" r:id="rId_hyperlink_4065" tooltip="ZXMP6A18DN8" display="ZXMP6A18DN8"/>
    <hyperlink ref="B2034" r:id="rId_hyperlink_4066" tooltip="ZXMP6A18DN8 Datasheet" display="ZXMP6A18DN8 Datasheet"/>
    <hyperlink ref="A2035" r:id="rId_hyperlink_4067" tooltip="ZXMP6A18K" display="ZXMP6A18K"/>
    <hyperlink ref="B2035" r:id="rId_hyperlink_4068" tooltip="ZXMP6A18K Datasheet" display="ZXMP6A18K Datasheet"/>
    <hyperlink ref="A2036" r:id="rId_hyperlink_4069" tooltip="ZXMP7A17G" display="ZXMP7A17G"/>
    <hyperlink ref="B2036" r:id="rId_hyperlink_4070" tooltip="ZXMP7A17G Datasheet" display="ZXMP7A17G Datasheet"/>
    <hyperlink ref="A2037" r:id="rId_hyperlink_4071" tooltip="ZXMP7A17GQ" display="ZXMP7A17GQ"/>
    <hyperlink ref="B2037" r:id="rId_hyperlink_4072" tooltip="ZXMP7A17GQ Datasheet" display="ZXMP7A17GQ Datasheet"/>
    <hyperlink ref="A2038" r:id="rId_hyperlink_4073" tooltip="ZXMP7A17K" display="ZXMP7A17K"/>
    <hyperlink ref="B2038" r:id="rId_hyperlink_4074" tooltip="ZXMP7A17K Datasheet" display="ZXMP7A17K Datasheet"/>
    <hyperlink ref="A2039" r:id="rId_hyperlink_4075" tooltip="ZXMP7A17KQ" display="ZXMP7A17KQ"/>
    <hyperlink ref="B2039" r:id="rId_hyperlink_4076" tooltip="ZXMP7A17KQ Datasheet" display="ZXMP7A17K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2024-04-15T15:12:00-05:00</dcterms:created>
  <dcterms:modified xsi:type="dcterms:W3CDTF">2024-04-15T15:12:00-05:00</dcterms:modified>
  <dc:title>Untitled Spreadsheet</dc:title>
  <dc:description/>
  <dc:subject/>
  <cp:keywords/>
  <cp:category/>
</cp:coreProperties>
</file>