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<sst xmlns="http://schemas.openxmlformats.org/spreadsheetml/2006/main" uniqueCount="205">
  <si>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</si>
  <si>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</si>
  <si>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</si>
  <si>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</si>
  <si>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</si>
  <si>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</si>
  <si>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</si>
  <si>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Rating(mW)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</si>
  <si>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ESD Diodes (Y|N)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</si>
  <si>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</si>
  <si>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</si>
  <si>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Average Rectifier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</si>
  <si>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Forward Surge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</si>
  <si>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 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</si>
  <si>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</si>
  <si>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V(BR)R (V) Min @IR=150μA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</si>
  <si>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</si>
  <si>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VF(V) Max @ IF=20mA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</si>
  <si>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VF(V) Max @ IF=100mA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</si>
  <si>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VF(V) Max @ IF=200mA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</si>
  <si>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V(BR)R (V) Min @IR=100μA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</si>
  <si>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Trr(ns) Max @ IF=IR=10 mA, Irr=0.1xIR, RL=100Ω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</si>
  <si>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</si>
  <si>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VF(V) Max @ IF=1.0mA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</si>
  <si>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VF(V) Max @ IF=10mA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</si>
  <si>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IR(nA) Max @ VR=5V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</si>
  <si>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IR(µA) Max @ VR=30V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</si>
  <si>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IR(uA) Max @ VR=80V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</si>
  <si>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IR(μA) Max @ VR=240V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</si>
  <si>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CT(pF) Max @ VR = 0V, f = 1MHz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</si>
  <si>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Trr(ns) Max @ IF=IR=30 mA, Irr=0.1xIR, RL=100Ω</t>
    </r>
  </si>
  <si>
    <t>Packages</t>
  </si>
  <si>
    <t>switching diode</t>
  </si>
  <si>
    <t>No</t>
  </si>
  <si>
    <t>Standard</t>
  </si>
  <si>
    <t>Single</t>
  </si>
  <si>
    <t>Anode, Cathode</t>
  </si>
  <si>
    <t>100@1μA</t>
  </si>
  <si>
    <t>SOD123</t>
  </si>
  <si>
    <t>Yes</t>
  </si>
  <si>
    <t>Automotive</t>
  </si>
  <si>
    <t>75@1μA</t>
  </si>
  <si>
    <t>SOD323</t>
  </si>
  <si>
    <t>SwitchingDiodes</t>
  </si>
  <si>
    <t>5uA@75V</t>
  </si>
  <si>
    <t>SOD323 (LS)</t>
  </si>
  <si>
    <t>10, 0.855</t>
  </si>
  <si>
    <t>SOD323F</t>
  </si>
  <si>
    <t>Small Signal Switching Diodes</t>
  </si>
  <si>
    <t>75@1?A</t>
  </si>
  <si>
    <t>SOD523</t>
  </si>
  <si>
    <t>SOD-523F (LS)</t>
  </si>
  <si>
    <t>X1-DFN1006-2</t>
  </si>
  <si>
    <t>0.72, 5</t>
  </si>
  <si>
    <t>Switching Diode</t>
  </si>
  <si>
    <t>100, 1</t>
  </si>
  <si>
    <t>0.1uA@80V</t>
  </si>
  <si>
    <t>100, 1.23</t>
  </si>
  <si>
    <t>X3-DFN0603-2</t>
  </si>
  <si>
    <t>100, 1.2</t>
  </si>
  <si>
    <t>X2-DFN1006-2</t>
  </si>
  <si>
    <t>Dual, Isolated</t>
  </si>
  <si>
    <t>SOT963</t>
  </si>
  <si>
    <t>SOD-523 (LS)</t>
  </si>
  <si>
    <t>Single (Alt.)</t>
  </si>
  <si>
    <t>SOT23</t>
  </si>
  <si>
    <t>1.1, 50</t>
  </si>
  <si>
    <t>50, 1.15</t>
  </si>
  <si>
    <t>SOT523</t>
  </si>
  <si>
    <t>SOT563</t>
  </si>
  <si>
    <t>1uA@75V</t>
  </si>
  <si>
    <t>Surface Mount FAST Switching Diodes</t>
  </si>
  <si>
    <t>0.715V @ 1mA</t>
  </si>
  <si>
    <t>0.5?A @ 80 V</t>
  </si>
  <si>
    <t>0.5uA@80V</t>
  </si>
  <si>
    <t>SURFACE MOUNT SWITCHING DIODE ARRAY</t>
  </si>
  <si>
    <t>Triple, Isolated</t>
  </si>
  <si>
    <t>0.715, 1</t>
  </si>
  <si>
    <t>100V@2.5μA</t>
  </si>
  <si>
    <t>SOT363</t>
  </si>
  <si>
    <t>100V@2.5?A</t>
  </si>
  <si>
    <t>SURFACE MOUNT SWITCHING DIODE</t>
  </si>
  <si>
    <t>200mA</t>
  </si>
  <si>
    <t>2.0A</t>
  </si>
  <si>
    <t>1.25V @ 150mA</t>
  </si>
  <si>
    <t>SURFACE MOUNT FAST SWITCHING DIODE ARRAY</t>
  </si>
  <si>
    <t>1, 50</t>
  </si>
  <si>
    <t>Dual Surface Mount Switching Diode</t>
  </si>
  <si>
    <t>Triple</t>
  </si>
  <si>
    <t>1.25V @ 150</t>
  </si>
  <si>
    <t>0.5uA @ 80</t>
  </si>
  <si>
    <t>100V</t>
  </si>
  <si>
    <t>0.715V</t>
  </si>
  <si>
    <t>0.855V</t>
  </si>
  <si>
    <t>150, 1.25</t>
  </si>
  <si>
    <t>0.5uA @ 80V</t>
  </si>
  <si>
    <t>0.03 @ 25V</t>
  </si>
  <si>
    <t>SOT323</t>
  </si>
  <si>
    <t>SOT323 (LS)</t>
  </si>
  <si>
    <t>0.1uA@200V</t>
  </si>
  <si>
    <t>SOT23 (LS)</t>
  </si>
  <si>
    <t>Dual</t>
  </si>
  <si>
    <t>100, 20, 1.3, 1.05, 0.9, 200</t>
  </si>
  <si>
    <t>SOT353</t>
  </si>
  <si>
    <t>100nA@200V</t>
  </si>
  <si>
    <t>Triple, Isolated (Alt.)</t>
  </si>
  <si>
    <t>100nA@250V</t>
  </si>
  <si>
    <t>SOT26</t>
  </si>
  <si>
    <t>100, 1.05</t>
  </si>
  <si>
    <t>Automotive Switching Diode</t>
  </si>
  <si>
    <t>1.05, 100</t>
  </si>
  <si>
    <t>SURFACE MOUNT FAST SWITCHING DIODE</t>
  </si>
  <si>
    <t>2.5, 1</t>
  </si>
  <si>
    <t>DUAL SURFACE MOUNT FAST SWITCHING DIODE</t>
  </si>
  <si>
    <t>SOT143</t>
  </si>
  <si>
    <t>HIGH SPEED HIGH CURRENT QUAD SWITCHING DIODE</t>
  </si>
  <si>
    <t>Dual, Series</t>
  </si>
  <si>
    <t>1?A @ 100 V</t>
  </si>
  <si>
    <t>SWITCHING DIODE</t>
  </si>
  <si>
    <t>150nA@250V</t>
  </si>
  <si>
    <t>HIGH VOLTAGE SWITCHING DIODE</t>
  </si>
  <si>
    <t>SURFACE MOUNT LOW LEAKAGE DIODE</t>
  </si>
  <si>
    <t>1, 10</t>
  </si>
  <si>
    <t>5nA@75V</t>
  </si>
  <si>
    <t>SOD123F</t>
  </si>
  <si>
    <t>ULTRA LOW LEAKAGE SURFACE MOUNT DIODE</t>
  </si>
  <si>
    <t>0.9, 1</t>
  </si>
  <si>
    <t>1, 0.9</t>
  </si>
  <si>
    <t>SOD923 (0.2mm Lead Width)</t>
  </si>
  <si>
    <t>Dual, Com. Cath</t>
  </si>
  <si>
    <t>Dual-Dual, Series (Alt.)</t>
  </si>
  <si>
    <t>QUAD SURFACE MOUNT LOW LEAKAGE DIODE</t>
  </si>
  <si>
    <t>1.25, 150</t>
  </si>
  <si>
    <t>DUAL SURFACE MOUNT LOW LEAKAGE DIODE</t>
  </si>
  <si>
    <t>100nA@120V</t>
  </si>
  <si>
    <t>SURFACE MOUNT HIGH VOLTAGE DIODE</t>
  </si>
  <si>
    <t>1, 100</t>
  </si>
  <si>
    <t>Cathode Bar; Anode, Cathode</t>
  </si>
  <si>
    <t>SOD-123 (LS)</t>
  </si>
  <si>
    <t>SOD-123F (LS)</t>
  </si>
  <si>
    <t>Dual, Com. Anode</t>
  </si>
  <si>
    <t>SURFACE MOUNT HIGH VOLTAGE DUAL SWITCHING DIODE</t>
  </si>
  <si>
    <t>Dual Surface-Mount Switching Diode</t>
  </si>
  <si>
    <t>75@2.5?A</t>
  </si>
  <si>
    <t>2.5uA@75V</t>
  </si>
  <si>
    <t>Dual-Dual, Com. Cath</t>
  </si>
  <si>
    <t>Surface Mount Switching Diode Array</t>
  </si>
  <si>
    <t>75@2.5μA</t>
  </si>
  <si>
    <t>100@20μA</t>
  </si>
  <si>
    <t>X1-DFN1006-3</t>
  </si>
  <si>
    <t>Quad, Isolated</t>
  </si>
  <si>
    <t>Surface Mount Fast Switching Diode</t>
  </si>
  <si>
    <t>Dual-Dual, Series</t>
  </si>
  <si>
    <t>1, 0</t>
  </si>
  <si>
    <t>100@2.5uA</t>
  </si>
  <si>
    <t>2uA@75V</t>
  </si>
  <si>
    <t>2.5µA@75V</t>
  </si>
  <si>
    <t>100, 1.1</t>
  </si>
  <si>
    <t>DUAL SURFACE MOUNT SWITCHING DIODE</t>
  </si>
  <si>
    <t>Dual-Dual, Com. Anode</t>
  </si>
  <si>
    <t>High Voltage Surface Mount Dual Switching Diode</t>
  </si>
  <si>
    <t>4, 1us</t>
  </si>
  <si>
    <t>1.15V_200mA</t>
  </si>
  <si>
    <t>0.1uA_240V</t>
  </si>
  <si>
    <t>Surface Mount High Voltage Low Leakage Diode</t>
  </si>
  <si>
    <t>4.0A @ 1us, 0.5A @ 1s</t>
  </si>
  <si>
    <t>1.15V @ 200mA</t>
  </si>
  <si>
    <t>50ns</t>
  </si>
  <si>
    <t>0.1 µA @ 240V</t>
  </si>
  <si>
    <t>4A @ 1us, 0.5A @ 1s</t>
  </si>
  <si>
    <t>0.1 @ 240V</t>
  </si>
  <si>
    <t>High-Voltage Switching Diode</t>
  </si>
  <si>
    <t>1.1V @ 100mA</t>
  </si>
  <si>
    <t>0.15 µA @ 250V</t>
  </si>
  <si>
    <t>0.15uA @ 250V</t>
  </si>
  <si>
    <t>High Voltage Switching Diode</t>
  </si>
  <si>
    <t xml:space="preserve">Standard </t>
  </si>
  <si>
    <t>4.5, 1us</t>
  </si>
  <si>
    <t>1.1V_100mA</t>
  </si>
  <si>
    <t>0.15uA_250V</t>
  </si>
  <si>
    <t>ULTRA LOW LEAKAGE SURFACE MOUNT FAST SWITCHING DIODE</t>
  </si>
  <si>
    <t>100, 0.94</t>
  </si>
  <si>
    <t>1.2V @ 100mA</t>
  </si>
  <si>
    <t>0.2uA @ 80V</t>
  </si>
  <si>
    <t>0.1uA @ 30V</t>
  </si>
  <si>
    <t>Unidirectional</t>
  </si>
  <si>
    <t>0.62, 0.74, 0.94</t>
  </si>
  <si>
    <t>0.01, 0.1, 0.2</t>
  </si>
  <si>
    <t>0.01, 0.4, 0.1, 0.6, 0.2, 0.8</t>
  </si>
  <si>
    <t>Quad</t>
  </si>
  <si>
    <t>2.5uA@70V</t>
  </si>
  <si>
    <t>LL-34 (LS)</t>
  </si>
  <si>
    <t>100nA@240V</t>
  </si>
  <si>
    <t>Five Element Common Cathode Switching Diode Array</t>
  </si>
  <si>
    <t>Five Element, Common Cathode</t>
  </si>
  <si>
    <t>U-DFN1616-6</t>
  </si>
  <si>
    <t>Surface Mount Switching Diode</t>
  </si>
  <si>
    <t>75@10μA</t>
  </si>
  <si>
    <t>100nA@70V</t>
  </si>
  <si>
    <t>Quad, Com. Anode</t>
  </si>
  <si>
    <t>Quad, Com. Cath</t>
  </si>
  <si>
    <t>80@2.5?A</t>
  </si>
  <si>
    <t>80@2.5μA</t>
  </si>
  <si>
    <t>3uA@100V</t>
  </si>
  <si>
    <t>Triple, Dual-Series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</si>
</sst>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4148W" TargetMode="External"/><Relationship Id="rId_hyperlink_2" Type="http://schemas.openxmlformats.org/officeDocument/2006/relationships/hyperlink" Target="https://www.diodes.com/part/view/1N4148WQ" TargetMode="External"/><Relationship Id="rId_hyperlink_3" Type="http://schemas.openxmlformats.org/officeDocument/2006/relationships/hyperlink" Target="https://www.diodes.com/part/view/1N4148WS" TargetMode="External"/><Relationship Id="rId_hyperlink_4" Type="http://schemas.openxmlformats.org/officeDocument/2006/relationships/hyperlink" Target="https://www.diodes.com/part/view/1N4148WS%28LS%29" TargetMode="External"/><Relationship Id="rId_hyperlink_5" Type="http://schemas.openxmlformats.org/officeDocument/2006/relationships/hyperlink" Target="https://www.diodes.com/part/view/1N4148WSF" TargetMode="External"/><Relationship Id="rId_hyperlink_6" Type="http://schemas.openxmlformats.org/officeDocument/2006/relationships/hyperlink" Target="https://www.diodes.com/part/view/1N4148WSQ" TargetMode="External"/><Relationship Id="rId_hyperlink_7" Type="http://schemas.openxmlformats.org/officeDocument/2006/relationships/hyperlink" Target="https://www.diodes.com/part/view/1N4148WT" TargetMode="External"/><Relationship Id="rId_hyperlink_8" Type="http://schemas.openxmlformats.org/officeDocument/2006/relationships/hyperlink" Target="https://www.diodes.com/part/view/1N4148WTF%28LS%29" TargetMode="External"/><Relationship Id="rId_hyperlink_9" Type="http://schemas.openxmlformats.org/officeDocument/2006/relationships/hyperlink" Target="https://www.diodes.com/part/view/1N4448HLP" TargetMode="External"/><Relationship Id="rId_hyperlink_10" Type="http://schemas.openxmlformats.org/officeDocument/2006/relationships/hyperlink" Target="https://www.diodes.com/part/view/1N4448HWS" TargetMode="External"/><Relationship Id="rId_hyperlink_11" Type="http://schemas.openxmlformats.org/officeDocument/2006/relationships/hyperlink" Target="https://www.diodes.com/part/view/1N4448HWSQ" TargetMode="External"/><Relationship Id="rId_hyperlink_12" Type="http://schemas.openxmlformats.org/officeDocument/2006/relationships/hyperlink" Target="https://www.diodes.com/part/view/1N4448HWT" TargetMode="External"/><Relationship Id="rId_hyperlink_13" Type="http://schemas.openxmlformats.org/officeDocument/2006/relationships/hyperlink" Target="https://www.diodes.com/part/view/1N4448W" TargetMode="External"/><Relationship Id="rId_hyperlink_14" Type="http://schemas.openxmlformats.org/officeDocument/2006/relationships/hyperlink" Target="https://www.diodes.com/part/view/1N4448WS" TargetMode="External"/><Relationship Id="rId_hyperlink_15" Type="http://schemas.openxmlformats.org/officeDocument/2006/relationships/hyperlink" Target="https://www.diodes.com/part/view/1N4448WSF" TargetMode="External"/><Relationship Id="rId_hyperlink_16" Type="http://schemas.openxmlformats.org/officeDocument/2006/relationships/hyperlink" Target="https://www.diodes.com/part/view/1N4448WTF%28LS%29" TargetMode="External"/><Relationship Id="rId_hyperlink_17" Type="http://schemas.openxmlformats.org/officeDocument/2006/relationships/hyperlink" Target="https://www.diodes.com/part/view/1SS355%28LS%29" TargetMode="External"/><Relationship Id="rId_hyperlink_18" Type="http://schemas.openxmlformats.org/officeDocument/2006/relationships/hyperlink" Target="https://www.diodes.com/part/view/1SS361LP3" TargetMode="External"/><Relationship Id="rId_hyperlink_19" Type="http://schemas.openxmlformats.org/officeDocument/2006/relationships/hyperlink" Target="https://www.diodes.com/part/view/1SS361LPH4" TargetMode="External"/><Relationship Id="rId_hyperlink_20" Type="http://schemas.openxmlformats.org/officeDocument/2006/relationships/hyperlink" Target="https://www.diodes.com/part/view/1SS361UDJ" TargetMode="External"/><Relationship Id="rId_hyperlink_21" Type="http://schemas.openxmlformats.org/officeDocument/2006/relationships/hyperlink" Target="https://www.diodes.com/part/view/1SS400%28LS%29" TargetMode="External"/><Relationship Id="rId_hyperlink_22" Type="http://schemas.openxmlformats.org/officeDocument/2006/relationships/hyperlink" Target="https://www.diodes.com/part/view/1SS400F%28LS%29" TargetMode="External"/><Relationship Id="rId_hyperlink_23" Type="http://schemas.openxmlformats.org/officeDocument/2006/relationships/hyperlink" Target="https://www.diodes.com/part/view/BAL99" TargetMode="External"/><Relationship Id="rId_hyperlink_24" Type="http://schemas.openxmlformats.org/officeDocument/2006/relationships/hyperlink" Target="https://www.diodes.com/part/view/BAS116" TargetMode="External"/><Relationship Id="rId_hyperlink_25" Type="http://schemas.openxmlformats.org/officeDocument/2006/relationships/hyperlink" Target="https://www.diodes.com/part/view/BAS116LPH4" TargetMode="External"/><Relationship Id="rId_hyperlink_26" Type="http://schemas.openxmlformats.org/officeDocument/2006/relationships/hyperlink" Target="https://www.diodes.com/part/view/BAS116T" TargetMode="External"/><Relationship Id="rId_hyperlink_27" Type="http://schemas.openxmlformats.org/officeDocument/2006/relationships/hyperlink" Target="https://www.diodes.com/part/view/BAS116V" TargetMode="External"/><Relationship Id="rId_hyperlink_28" Type="http://schemas.openxmlformats.org/officeDocument/2006/relationships/hyperlink" Target="https://www.diodes.com/part/view/BAS16" TargetMode="External"/><Relationship Id="rId_hyperlink_29" Type="http://schemas.openxmlformats.org/officeDocument/2006/relationships/hyperlink" Target="https://www.diodes.com/part/view/BAS16F%28LS%29" TargetMode="External"/><Relationship Id="rId_hyperlink_30" Type="http://schemas.openxmlformats.org/officeDocument/2006/relationships/hyperlink" Target="https://www.diodes.com/part/view/BAS16HLP" TargetMode="External"/><Relationship Id="rId_hyperlink_31" Type="http://schemas.openxmlformats.org/officeDocument/2006/relationships/hyperlink" Target="https://www.diodes.com/part/view/BAS16HLPQ" TargetMode="External"/><Relationship Id="rId_hyperlink_32" Type="http://schemas.openxmlformats.org/officeDocument/2006/relationships/hyperlink" Target="https://www.diodes.com/part/view/BAS16HTW" TargetMode="External"/><Relationship Id="rId_hyperlink_33" Type="http://schemas.openxmlformats.org/officeDocument/2006/relationships/hyperlink" Target="https://www.diodes.com/part/view/BAS16HTWQ" TargetMode="External"/><Relationship Id="rId_hyperlink_34" Type="http://schemas.openxmlformats.org/officeDocument/2006/relationships/hyperlink" Target="https://www.diodes.com/part/view/BAS16LP" TargetMode="External"/><Relationship Id="rId_hyperlink_35" Type="http://schemas.openxmlformats.org/officeDocument/2006/relationships/hyperlink" Target="https://www.diodes.com/part/view/BAS16LPQ" TargetMode="External"/><Relationship Id="rId_hyperlink_36" Type="http://schemas.openxmlformats.org/officeDocument/2006/relationships/hyperlink" Target="https://www.diodes.com/part/view/BAS16T" TargetMode="External"/><Relationship Id="rId_hyperlink_37" Type="http://schemas.openxmlformats.org/officeDocument/2006/relationships/hyperlink" Target="https://www.diodes.com/part/view/BAS16TW" TargetMode="External"/><Relationship Id="rId_hyperlink_38" Type="http://schemas.openxmlformats.org/officeDocument/2006/relationships/hyperlink" Target="https://www.diodes.com/part/view/BAS16TWQ" TargetMode="External"/><Relationship Id="rId_hyperlink_39" Type="http://schemas.openxmlformats.org/officeDocument/2006/relationships/hyperlink" Target="https://www.diodes.com/part/view/BAS16V" TargetMode="External"/><Relationship Id="rId_hyperlink_40" Type="http://schemas.openxmlformats.org/officeDocument/2006/relationships/hyperlink" Target="https://www.diodes.com/part/view/BAS16VA" TargetMode="External"/><Relationship Id="rId_hyperlink_41" Type="http://schemas.openxmlformats.org/officeDocument/2006/relationships/hyperlink" Target="https://www.diodes.com/part/view/BAS16VAQ" TargetMode="External"/><Relationship Id="rId_hyperlink_42" Type="http://schemas.openxmlformats.org/officeDocument/2006/relationships/hyperlink" Target="https://www.diodes.com/part/view/BAS16VV" TargetMode="External"/><Relationship Id="rId_hyperlink_43" Type="http://schemas.openxmlformats.org/officeDocument/2006/relationships/hyperlink" Target="https://www.diodes.com/part/view/BAS16VVQ" TargetMode="External"/><Relationship Id="rId_hyperlink_44" Type="http://schemas.openxmlformats.org/officeDocument/2006/relationships/hyperlink" Target="https://www.diodes.com/part/view/BAS16W" TargetMode="External"/><Relationship Id="rId_hyperlink_45" Type="http://schemas.openxmlformats.org/officeDocument/2006/relationships/hyperlink" Target="https://www.diodes.com/part/view/BAS16W%28LS%29" TargetMode="External"/><Relationship Id="rId_hyperlink_46" Type="http://schemas.openxmlformats.org/officeDocument/2006/relationships/hyperlink" Target="https://www.diodes.com/part/view/BAS19" TargetMode="External"/><Relationship Id="rId_hyperlink_47" Type="http://schemas.openxmlformats.org/officeDocument/2006/relationships/hyperlink" Target="https://www.diodes.com/part/view/BAS19W" TargetMode="External"/><Relationship Id="rId_hyperlink_48" Type="http://schemas.openxmlformats.org/officeDocument/2006/relationships/hyperlink" Target="https://www.diodes.com/part/view/BAS20" TargetMode="External"/><Relationship Id="rId_hyperlink_49" Type="http://schemas.openxmlformats.org/officeDocument/2006/relationships/hyperlink" Target="https://www.diodes.com/part/view/BAS20DW" TargetMode="External"/><Relationship Id="rId_hyperlink_50" Type="http://schemas.openxmlformats.org/officeDocument/2006/relationships/hyperlink" Target="https://www.diodes.com/part/view/BAS20W" TargetMode="External"/><Relationship Id="rId_hyperlink_51" Type="http://schemas.openxmlformats.org/officeDocument/2006/relationships/hyperlink" Target="https://www.diodes.com/part/view/BAS21" TargetMode="External"/><Relationship Id="rId_hyperlink_52" Type="http://schemas.openxmlformats.org/officeDocument/2006/relationships/hyperlink" Target="https://www.diodes.com/part/view/BAS21%28LS%29" TargetMode="External"/><Relationship Id="rId_hyperlink_53" Type="http://schemas.openxmlformats.org/officeDocument/2006/relationships/hyperlink" Target="https://www.diodes.com/part/view/BAS21C%28LS%29" TargetMode="External"/><Relationship Id="rId_hyperlink_54" Type="http://schemas.openxmlformats.org/officeDocument/2006/relationships/hyperlink" Target="https://www.diodes.com/part/view/BAS21DW" TargetMode="External"/><Relationship Id="rId_hyperlink_55" Type="http://schemas.openxmlformats.org/officeDocument/2006/relationships/hyperlink" Target="https://www.diodes.com/part/view/BAS21DWA" TargetMode="External"/><Relationship Id="rId_hyperlink_56" Type="http://schemas.openxmlformats.org/officeDocument/2006/relationships/hyperlink" Target="https://www.diodes.com/part/view/BAS21S%28LS%29" TargetMode="External"/><Relationship Id="rId_hyperlink_57" Type="http://schemas.openxmlformats.org/officeDocument/2006/relationships/hyperlink" Target="https://www.diodes.com/part/view/BAS21T" TargetMode="External"/><Relationship Id="rId_hyperlink_58" Type="http://schemas.openxmlformats.org/officeDocument/2006/relationships/hyperlink" Target="https://www.diodes.com/part/view/BAS21TM" TargetMode="External"/><Relationship Id="rId_hyperlink_59" Type="http://schemas.openxmlformats.org/officeDocument/2006/relationships/hyperlink" Target="https://www.diodes.com/part/view/BAS21TMQ" TargetMode="External"/><Relationship Id="rId_hyperlink_60" Type="http://schemas.openxmlformats.org/officeDocument/2006/relationships/hyperlink" Target="https://www.diodes.com/part/view/BAS21TW" TargetMode="External"/><Relationship Id="rId_hyperlink_61" Type="http://schemas.openxmlformats.org/officeDocument/2006/relationships/hyperlink" Target="https://www.diodes.com/part/view/BAS21TWQ" TargetMode="External"/><Relationship Id="rId_hyperlink_62" Type="http://schemas.openxmlformats.org/officeDocument/2006/relationships/hyperlink" Target="https://www.diodes.com/part/view/BAS21W" TargetMode="External"/><Relationship Id="rId_hyperlink_63" Type="http://schemas.openxmlformats.org/officeDocument/2006/relationships/hyperlink" Target="https://www.diodes.com/part/view/BAS21WQ" TargetMode="External"/><Relationship Id="rId_hyperlink_64" Type="http://schemas.openxmlformats.org/officeDocument/2006/relationships/hyperlink" Target="https://www.diodes.com/part/view/BAS28" TargetMode="External"/><Relationship Id="rId_hyperlink_65" Type="http://schemas.openxmlformats.org/officeDocument/2006/relationships/hyperlink" Target="https://www.diodes.com/part/view/BAS28Q" TargetMode="External"/><Relationship Id="rId_hyperlink_66" Type="http://schemas.openxmlformats.org/officeDocument/2006/relationships/hyperlink" Target="https://www.diodes.com/part/view/BAS299" TargetMode="External"/><Relationship Id="rId_hyperlink_67" Type="http://schemas.openxmlformats.org/officeDocument/2006/relationships/hyperlink" Target="https://www.diodes.com/part/view/BAS516%28LS%29" TargetMode="External"/><Relationship Id="rId_hyperlink_68" Type="http://schemas.openxmlformats.org/officeDocument/2006/relationships/hyperlink" Target="https://www.diodes.com/part/view/BAS521" TargetMode="External"/><Relationship Id="rId_hyperlink_69" Type="http://schemas.openxmlformats.org/officeDocument/2006/relationships/hyperlink" Target="https://www.diodes.com/part/view/BAS521Q" TargetMode="External"/><Relationship Id="rId_hyperlink_70" Type="http://schemas.openxmlformats.org/officeDocument/2006/relationships/hyperlink" Target="https://www.diodes.com/part/view/BAV116HWF" TargetMode="External"/><Relationship Id="rId_hyperlink_71" Type="http://schemas.openxmlformats.org/officeDocument/2006/relationships/hyperlink" Target="https://www.diodes.com/part/view/BAV116HWFQ" TargetMode="External"/><Relationship Id="rId_hyperlink_72" Type="http://schemas.openxmlformats.org/officeDocument/2006/relationships/hyperlink" Target="https://www.diodes.com/part/view/BAV116T" TargetMode="External"/><Relationship Id="rId_hyperlink_73" Type="http://schemas.openxmlformats.org/officeDocument/2006/relationships/hyperlink" Target="https://www.diodes.com/part/view/BAV116W" TargetMode="External"/><Relationship Id="rId_hyperlink_74" Type="http://schemas.openxmlformats.org/officeDocument/2006/relationships/hyperlink" Target="https://www.diodes.com/part/view/BAV116WQ" TargetMode="External"/><Relationship Id="rId_hyperlink_75" Type="http://schemas.openxmlformats.org/officeDocument/2006/relationships/hyperlink" Target="https://www.diodes.com/part/view/BAV116WS" TargetMode="External"/><Relationship Id="rId_hyperlink_76" Type="http://schemas.openxmlformats.org/officeDocument/2006/relationships/hyperlink" Target="https://www.diodes.com/part/view/BAV116WSQ" TargetMode="External"/><Relationship Id="rId_hyperlink_77" Type="http://schemas.openxmlformats.org/officeDocument/2006/relationships/hyperlink" Target="https://www.diodes.com/part/view/BAV16S92" TargetMode="External"/><Relationship Id="rId_hyperlink_78" Type="http://schemas.openxmlformats.org/officeDocument/2006/relationships/hyperlink" Target="https://www.diodes.com/part/view/BAV16W" TargetMode="External"/><Relationship Id="rId_hyperlink_79" Type="http://schemas.openxmlformats.org/officeDocument/2006/relationships/hyperlink" Target="https://www.diodes.com/part/view/BAV16WS" TargetMode="External"/><Relationship Id="rId_hyperlink_80" Type="http://schemas.openxmlformats.org/officeDocument/2006/relationships/hyperlink" Target="https://www.diodes.com/part/view/BAV170" TargetMode="External"/><Relationship Id="rId_hyperlink_81" Type="http://schemas.openxmlformats.org/officeDocument/2006/relationships/hyperlink" Target="https://www.diodes.com/part/view/BAV170T" TargetMode="External"/><Relationship Id="rId_hyperlink_82" Type="http://schemas.openxmlformats.org/officeDocument/2006/relationships/hyperlink" Target="https://www.diodes.com/part/view/BAV199" TargetMode="External"/><Relationship Id="rId_hyperlink_83" Type="http://schemas.openxmlformats.org/officeDocument/2006/relationships/hyperlink" Target="https://www.diodes.com/part/view/BAV199DW" TargetMode="External"/><Relationship Id="rId_hyperlink_84" Type="http://schemas.openxmlformats.org/officeDocument/2006/relationships/hyperlink" Target="https://www.diodes.com/part/view/BAV199DWQ" TargetMode="External"/><Relationship Id="rId_hyperlink_85" Type="http://schemas.openxmlformats.org/officeDocument/2006/relationships/hyperlink" Target="https://www.diodes.com/part/view/BAV199T" TargetMode="External"/><Relationship Id="rId_hyperlink_86" Type="http://schemas.openxmlformats.org/officeDocument/2006/relationships/hyperlink" Target="https://www.diodes.com/part/view/BAV199TQ" TargetMode="External"/><Relationship Id="rId_hyperlink_87" Type="http://schemas.openxmlformats.org/officeDocument/2006/relationships/hyperlink" Target="https://www.diodes.com/part/view/BAV199W" TargetMode="External"/><Relationship Id="rId_hyperlink_88" Type="http://schemas.openxmlformats.org/officeDocument/2006/relationships/hyperlink" Target="https://www.diodes.com/part/view/BAV199WQ" TargetMode="External"/><Relationship Id="rId_hyperlink_89" Type="http://schemas.openxmlformats.org/officeDocument/2006/relationships/hyperlink" Target="https://www.diodes.com/part/view/BAV19W" TargetMode="External"/><Relationship Id="rId_hyperlink_90" Type="http://schemas.openxmlformats.org/officeDocument/2006/relationships/hyperlink" Target="https://www.diodes.com/part/view/BAV19WS" TargetMode="External"/><Relationship Id="rId_hyperlink_91" Type="http://schemas.openxmlformats.org/officeDocument/2006/relationships/hyperlink" Target="https://www.diodes.com/part/view/BAV20W" TargetMode="External"/><Relationship Id="rId_hyperlink_92" Type="http://schemas.openxmlformats.org/officeDocument/2006/relationships/hyperlink" Target="https://www.diodes.com/part/view/BAV20WS" TargetMode="External"/><Relationship Id="rId_hyperlink_93" Type="http://schemas.openxmlformats.org/officeDocument/2006/relationships/hyperlink" Target="https://www.diodes.com/part/view/BAV21HWF" TargetMode="External"/><Relationship Id="rId_hyperlink_94" Type="http://schemas.openxmlformats.org/officeDocument/2006/relationships/hyperlink" Target="https://www.diodes.com/part/view/BAV21HWFQ" TargetMode="External"/><Relationship Id="rId_hyperlink_95" Type="http://schemas.openxmlformats.org/officeDocument/2006/relationships/hyperlink" Target="https://www.diodes.com/part/view/BAV21W" TargetMode="External"/><Relationship Id="rId_hyperlink_96" Type="http://schemas.openxmlformats.org/officeDocument/2006/relationships/hyperlink" Target="https://www.diodes.com/part/view/BAV21W%28LS%29" TargetMode="External"/><Relationship Id="rId_hyperlink_97" Type="http://schemas.openxmlformats.org/officeDocument/2006/relationships/hyperlink" Target="https://www.diodes.com/part/view/BAV21WF%28LS%29" TargetMode="External"/><Relationship Id="rId_hyperlink_98" Type="http://schemas.openxmlformats.org/officeDocument/2006/relationships/hyperlink" Target="https://www.diodes.com/part/view/BAV21WS" TargetMode="External"/><Relationship Id="rId_hyperlink_99" Type="http://schemas.openxmlformats.org/officeDocument/2006/relationships/hyperlink" Target="https://www.diodes.com/part/view/BAV21WS%28LS%29" TargetMode="External"/><Relationship Id="rId_hyperlink_100" Type="http://schemas.openxmlformats.org/officeDocument/2006/relationships/hyperlink" Target="https://www.diodes.com/part/view/BAV23" TargetMode="External"/><Relationship Id="rId_hyperlink_101" Type="http://schemas.openxmlformats.org/officeDocument/2006/relationships/hyperlink" Target="https://www.diodes.com/part/view/BAV23A" TargetMode="External"/><Relationship Id="rId_hyperlink_102" Type="http://schemas.openxmlformats.org/officeDocument/2006/relationships/hyperlink" Target="https://www.diodes.com/part/view/BAV23AQ" TargetMode="External"/><Relationship Id="rId_hyperlink_103" Type="http://schemas.openxmlformats.org/officeDocument/2006/relationships/hyperlink" Target="https://www.diodes.com/part/view/BAV23C" TargetMode="External"/><Relationship Id="rId_hyperlink_104" Type="http://schemas.openxmlformats.org/officeDocument/2006/relationships/hyperlink" Target="https://www.diodes.com/part/view/BAV23CQ" TargetMode="External"/><Relationship Id="rId_hyperlink_105" Type="http://schemas.openxmlformats.org/officeDocument/2006/relationships/hyperlink" Target="https://www.diodes.com/part/view/BAV23S" TargetMode="External"/><Relationship Id="rId_hyperlink_106" Type="http://schemas.openxmlformats.org/officeDocument/2006/relationships/hyperlink" Target="https://www.diodes.com/part/view/BAV23SQ" TargetMode="External"/><Relationship Id="rId_hyperlink_107" Type="http://schemas.openxmlformats.org/officeDocument/2006/relationships/hyperlink" Target="https://www.diodes.com/part/view/BAV70" TargetMode="External"/><Relationship Id="rId_hyperlink_108" Type="http://schemas.openxmlformats.org/officeDocument/2006/relationships/hyperlink" Target="https://www.diodes.com/part/view/BAV70%28LS%29" TargetMode="External"/><Relationship Id="rId_hyperlink_109" Type="http://schemas.openxmlformats.org/officeDocument/2006/relationships/hyperlink" Target="https://www.diodes.com/part/view/BAV70DV" TargetMode="External"/><Relationship Id="rId_hyperlink_110" Type="http://schemas.openxmlformats.org/officeDocument/2006/relationships/hyperlink" Target="https://www.diodes.com/part/view/BAV70DW" TargetMode="External"/><Relationship Id="rId_hyperlink_111" Type="http://schemas.openxmlformats.org/officeDocument/2006/relationships/hyperlink" Target="https://www.diodes.com/part/view/BAV70HDW" TargetMode="External"/><Relationship Id="rId_hyperlink_112" Type="http://schemas.openxmlformats.org/officeDocument/2006/relationships/hyperlink" Target="https://www.diodes.com/part/view/BAV70HDWQ" TargetMode="External"/><Relationship Id="rId_hyperlink_113" Type="http://schemas.openxmlformats.org/officeDocument/2006/relationships/hyperlink" Target="https://www.diodes.com/part/view/BAV70LP" TargetMode="External"/><Relationship Id="rId_hyperlink_114" Type="http://schemas.openxmlformats.org/officeDocument/2006/relationships/hyperlink" Target="https://www.diodes.com/part/view/BAV70T" TargetMode="External"/><Relationship Id="rId_hyperlink_115" Type="http://schemas.openxmlformats.org/officeDocument/2006/relationships/hyperlink" Target="https://www.diodes.com/part/view/BAV70W" TargetMode="External"/><Relationship Id="rId_hyperlink_116" Type="http://schemas.openxmlformats.org/officeDocument/2006/relationships/hyperlink" Target="https://www.diodes.com/part/view/BAV70W%28LS%29" TargetMode="External"/><Relationship Id="rId_hyperlink_117" Type="http://schemas.openxmlformats.org/officeDocument/2006/relationships/hyperlink" Target="https://www.diodes.com/part/view/BAV756DW" TargetMode="External"/><Relationship Id="rId_hyperlink_118" Type="http://schemas.openxmlformats.org/officeDocument/2006/relationships/hyperlink" Target="https://www.diodes.com/part/view/BAV99" TargetMode="External"/><Relationship Id="rId_hyperlink_119" Type="http://schemas.openxmlformats.org/officeDocument/2006/relationships/hyperlink" Target="https://www.diodes.com/part/view/BAV99%28LS%29" TargetMode="External"/><Relationship Id="rId_hyperlink_120" Type="http://schemas.openxmlformats.org/officeDocument/2006/relationships/hyperlink" Target="https://www.diodes.com/part/view/BAV99BRV" TargetMode="External"/><Relationship Id="rId_hyperlink_121" Type="http://schemas.openxmlformats.org/officeDocument/2006/relationships/hyperlink" Target="https://www.diodes.com/part/view/BAV99BRVA" TargetMode="External"/><Relationship Id="rId_hyperlink_122" Type="http://schemas.openxmlformats.org/officeDocument/2006/relationships/hyperlink" Target="https://www.diodes.com/part/view/BAV99BRW" TargetMode="External"/><Relationship Id="rId_hyperlink_123" Type="http://schemas.openxmlformats.org/officeDocument/2006/relationships/hyperlink" Target="https://www.diodes.com/part/view/BAV99DW" TargetMode="External"/><Relationship Id="rId_hyperlink_124" Type="http://schemas.openxmlformats.org/officeDocument/2006/relationships/hyperlink" Target="https://www.diodes.com/part/view/BAV99DWQ" TargetMode="External"/><Relationship Id="rId_hyperlink_125" Type="http://schemas.openxmlformats.org/officeDocument/2006/relationships/hyperlink" Target="https://www.diodes.com/part/view/BAV99HDW" TargetMode="External"/><Relationship Id="rId_hyperlink_126" Type="http://schemas.openxmlformats.org/officeDocument/2006/relationships/hyperlink" Target="https://www.diodes.com/part/view/BAV99HDWQ" TargetMode="External"/><Relationship Id="rId_hyperlink_127" Type="http://schemas.openxmlformats.org/officeDocument/2006/relationships/hyperlink" Target="https://www.diodes.com/part/view/BAV99Q" TargetMode="External"/><Relationship Id="rId_hyperlink_128" Type="http://schemas.openxmlformats.org/officeDocument/2006/relationships/hyperlink" Target="https://www.diodes.com/part/view/BAV99T" TargetMode="External"/><Relationship Id="rId_hyperlink_129" Type="http://schemas.openxmlformats.org/officeDocument/2006/relationships/hyperlink" Target="https://www.diodes.com/part/view/BAV99W" TargetMode="External"/><Relationship Id="rId_hyperlink_130" Type="http://schemas.openxmlformats.org/officeDocument/2006/relationships/hyperlink" Target="https://www.diodes.com/part/view/BAV99W%28LS%29" TargetMode="External"/><Relationship Id="rId_hyperlink_131" Type="http://schemas.openxmlformats.org/officeDocument/2006/relationships/hyperlink" Target="https://www.diodes.com/part/view/BAW101" TargetMode="External"/><Relationship Id="rId_hyperlink_132" Type="http://schemas.openxmlformats.org/officeDocument/2006/relationships/hyperlink" Target="https://www.diodes.com/part/view/BAW101Q" TargetMode="External"/><Relationship Id="rId_hyperlink_133" Type="http://schemas.openxmlformats.org/officeDocument/2006/relationships/hyperlink" Target="https://www.diodes.com/part/view/BAW101S" TargetMode="External"/><Relationship Id="rId_hyperlink_134" Type="http://schemas.openxmlformats.org/officeDocument/2006/relationships/hyperlink" Target="https://www.diodes.com/part/view/BAW156" TargetMode="External"/><Relationship Id="rId_hyperlink_135" Type="http://schemas.openxmlformats.org/officeDocument/2006/relationships/hyperlink" Target="https://www.diodes.com/part/view/BAW156T" TargetMode="External"/><Relationship Id="rId_hyperlink_136" Type="http://schemas.openxmlformats.org/officeDocument/2006/relationships/hyperlink" Target="https://www.diodes.com/part/view/BAW156TQ" TargetMode="External"/><Relationship Id="rId_hyperlink_137" Type="http://schemas.openxmlformats.org/officeDocument/2006/relationships/hyperlink" Target="https://www.diodes.com/part/view/BAW56" TargetMode="External"/><Relationship Id="rId_hyperlink_138" Type="http://schemas.openxmlformats.org/officeDocument/2006/relationships/hyperlink" Target="https://www.diodes.com/part/view/BAW56%28LS%29" TargetMode="External"/><Relationship Id="rId_hyperlink_139" Type="http://schemas.openxmlformats.org/officeDocument/2006/relationships/hyperlink" Target="https://www.diodes.com/part/view/BAW567DW" TargetMode="External"/><Relationship Id="rId_hyperlink_140" Type="http://schemas.openxmlformats.org/officeDocument/2006/relationships/hyperlink" Target="https://www.diodes.com/part/view/BAW56DW" TargetMode="External"/><Relationship Id="rId_hyperlink_141" Type="http://schemas.openxmlformats.org/officeDocument/2006/relationships/hyperlink" Target="https://www.diodes.com/part/view/BAW56HDW" TargetMode="External"/><Relationship Id="rId_hyperlink_142" Type="http://schemas.openxmlformats.org/officeDocument/2006/relationships/hyperlink" Target="https://www.diodes.com/part/view/BAW56HDWQ" TargetMode="External"/><Relationship Id="rId_hyperlink_143" Type="http://schemas.openxmlformats.org/officeDocument/2006/relationships/hyperlink" Target="https://www.diodes.com/part/view/BAW56T" TargetMode="External"/><Relationship Id="rId_hyperlink_144" Type="http://schemas.openxmlformats.org/officeDocument/2006/relationships/hyperlink" Target="https://www.diodes.com/part/view/BAW56W" TargetMode="External"/><Relationship Id="rId_hyperlink_145" Type="http://schemas.openxmlformats.org/officeDocument/2006/relationships/hyperlink" Target="https://www.diodes.com/part/view/DHVSD3004AS" TargetMode="External"/><Relationship Id="rId_hyperlink_146" Type="http://schemas.openxmlformats.org/officeDocument/2006/relationships/hyperlink" Target="https://www.diodes.com/part/view/DHVSD3004ASQ" TargetMode="External"/><Relationship Id="rId_hyperlink_147" Type="http://schemas.openxmlformats.org/officeDocument/2006/relationships/hyperlink" Target="https://www.diodes.com/part/view/DHVSD3004CS" TargetMode="External"/><Relationship Id="rId_hyperlink_148" Type="http://schemas.openxmlformats.org/officeDocument/2006/relationships/hyperlink" Target="https://www.diodes.com/part/view/DHVSD3004CSQ" TargetMode="External"/><Relationship Id="rId_hyperlink_149" Type="http://schemas.openxmlformats.org/officeDocument/2006/relationships/hyperlink" Target="https://www.diodes.com/part/view/DHVSD3004S1" TargetMode="External"/><Relationship Id="rId_hyperlink_150" Type="http://schemas.openxmlformats.org/officeDocument/2006/relationships/hyperlink" Target="https://www.diodes.com/part/view/DHVSD3004S1Q" TargetMode="External"/><Relationship Id="rId_hyperlink_151" Type="http://schemas.openxmlformats.org/officeDocument/2006/relationships/hyperlink" Target="https://www.diodes.com/part/view/DHVSD3004SS" TargetMode="External"/><Relationship Id="rId_hyperlink_152" Type="http://schemas.openxmlformats.org/officeDocument/2006/relationships/hyperlink" Target="https://www.diodes.com/part/view/DHVSD3004SSQ" TargetMode="External"/><Relationship Id="rId_hyperlink_153" Type="http://schemas.openxmlformats.org/officeDocument/2006/relationships/hyperlink" Target="https://www.diodes.com/part/view/DHVSD521LP" TargetMode="External"/><Relationship Id="rId_hyperlink_154" Type="http://schemas.openxmlformats.org/officeDocument/2006/relationships/hyperlink" Target="https://www.diodes.com/part/view/DHVSD521T5" TargetMode="External"/><Relationship Id="rId_hyperlink_155" Type="http://schemas.openxmlformats.org/officeDocument/2006/relationships/hyperlink" Target="https://www.diodes.com/part/view/DLLFSD01LP3" TargetMode="External"/><Relationship Id="rId_hyperlink_156" Type="http://schemas.openxmlformats.org/officeDocument/2006/relationships/hyperlink" Target="https://www.diodes.com/part/view/DLLFSD01LP3Q" TargetMode="External"/><Relationship Id="rId_hyperlink_157" Type="http://schemas.openxmlformats.org/officeDocument/2006/relationships/hyperlink" Target="https://www.diodes.com/part/view/DLLFSD01LPH4" TargetMode="External"/><Relationship Id="rId_hyperlink_158" Type="http://schemas.openxmlformats.org/officeDocument/2006/relationships/hyperlink" Target="https://www.diodes.com/part/view/DLLFSD01T" TargetMode="External"/><Relationship Id="rId_hyperlink_159" Type="http://schemas.openxmlformats.org/officeDocument/2006/relationships/hyperlink" Target="https://www.diodes.com/part/view/DLPA004" TargetMode="External"/><Relationship Id="rId_hyperlink_160" Type="http://schemas.openxmlformats.org/officeDocument/2006/relationships/hyperlink" Target="https://www.diodes.com/part/view/LL4148%28LS%29" TargetMode="External"/><Relationship Id="rId_hyperlink_161" Type="http://schemas.openxmlformats.org/officeDocument/2006/relationships/hyperlink" Target="https://www.diodes.com/part/view/MMBD2004S" TargetMode="External"/><Relationship Id="rId_hyperlink_162" Type="http://schemas.openxmlformats.org/officeDocument/2006/relationships/hyperlink" Target="https://www.diodes.com/part/view/MMBD2004SQ" TargetMode="External"/><Relationship Id="rId_hyperlink_163" Type="http://schemas.openxmlformats.org/officeDocument/2006/relationships/hyperlink" Target="https://www.diodes.com/part/view/MMBD2004SW" TargetMode="External"/><Relationship Id="rId_hyperlink_164" Type="http://schemas.openxmlformats.org/officeDocument/2006/relationships/hyperlink" Target="https://www.diodes.com/part/view/MMBD4148" TargetMode="External"/><Relationship Id="rId_hyperlink_165" Type="http://schemas.openxmlformats.org/officeDocument/2006/relationships/hyperlink" Target="https://www.diodes.com/part/view/MMBD4148PLM" TargetMode="External"/><Relationship Id="rId_hyperlink_166" Type="http://schemas.openxmlformats.org/officeDocument/2006/relationships/hyperlink" Target="https://www.diodes.com/part/view/MMBD4148TW" TargetMode="External"/><Relationship Id="rId_hyperlink_167" Type="http://schemas.openxmlformats.org/officeDocument/2006/relationships/hyperlink" Target="https://www.diodes.com/part/view/MMBD4148W" TargetMode="External"/><Relationship Id="rId_hyperlink_168" Type="http://schemas.openxmlformats.org/officeDocument/2006/relationships/hyperlink" Target="https://www.diodes.com/part/view/MMBD4448" TargetMode="External"/><Relationship Id="rId_hyperlink_169" Type="http://schemas.openxmlformats.org/officeDocument/2006/relationships/hyperlink" Target="https://www.diodes.com/part/view/MMBD4448DW" TargetMode="External"/><Relationship Id="rId_hyperlink_170" Type="http://schemas.openxmlformats.org/officeDocument/2006/relationships/hyperlink" Target="https://www.diodes.com/part/view/MMBD4448H" TargetMode="External"/><Relationship Id="rId_hyperlink_171" Type="http://schemas.openxmlformats.org/officeDocument/2006/relationships/hyperlink" Target="https://www.diodes.com/part/view/MMBD4448HADW" TargetMode="External"/><Relationship Id="rId_hyperlink_172" Type="http://schemas.openxmlformats.org/officeDocument/2006/relationships/hyperlink" Target="https://www.diodes.com/part/view/MMBD4448HAQW" TargetMode="External"/><Relationship Id="rId_hyperlink_173" Type="http://schemas.openxmlformats.org/officeDocument/2006/relationships/hyperlink" Target="https://www.diodes.com/part/view/MMBD4448HCDW" TargetMode="External"/><Relationship Id="rId_hyperlink_174" Type="http://schemas.openxmlformats.org/officeDocument/2006/relationships/hyperlink" Target="https://www.diodes.com/part/view/MMBD4448HCQW" TargetMode="External"/><Relationship Id="rId_hyperlink_175" Type="http://schemas.openxmlformats.org/officeDocument/2006/relationships/hyperlink" Target="https://www.diodes.com/part/view/MMBD4448HSDW" TargetMode="External"/><Relationship Id="rId_hyperlink_176" Type="http://schemas.openxmlformats.org/officeDocument/2006/relationships/hyperlink" Target="https://www.diodes.com/part/view/MMBD4448HT" TargetMode="External"/><Relationship Id="rId_hyperlink_177" Type="http://schemas.openxmlformats.org/officeDocument/2006/relationships/hyperlink" Target="https://www.diodes.com/part/view/MMBD4448HTA" TargetMode="External"/><Relationship Id="rId_hyperlink_178" Type="http://schemas.openxmlformats.org/officeDocument/2006/relationships/hyperlink" Target="https://www.diodes.com/part/view/MMBD4448HTC" TargetMode="External"/><Relationship Id="rId_hyperlink_179" Type="http://schemas.openxmlformats.org/officeDocument/2006/relationships/hyperlink" Target="https://www.diodes.com/part/view/MMBD4448HTM" TargetMode="External"/><Relationship Id="rId_hyperlink_180" Type="http://schemas.openxmlformats.org/officeDocument/2006/relationships/hyperlink" Target="https://www.diodes.com/part/view/MMBD4448HTS" TargetMode="External"/><Relationship Id="rId_hyperlink_181" Type="http://schemas.openxmlformats.org/officeDocument/2006/relationships/hyperlink" Target="https://www.diodes.com/part/view/MMBD4448HTW" TargetMode="External"/><Relationship Id="rId_hyperlink_182" Type="http://schemas.openxmlformats.org/officeDocument/2006/relationships/hyperlink" Target="https://www.diodes.com/part/view/MMBD4448HW" TargetMode="External"/><Relationship Id="rId_hyperlink_183" Type="http://schemas.openxmlformats.org/officeDocument/2006/relationships/hyperlink" Target="https://www.diodes.com/part/view/MMBD4448V" TargetMode="External"/><Relationship Id="rId_hyperlink_184" Type="http://schemas.openxmlformats.org/officeDocument/2006/relationships/hyperlink" Target="https://www.diodes.com/part/view/MMBD4448W" TargetMode="External"/><Relationship Id="rId_hyperlink_185" Type="http://schemas.openxmlformats.org/officeDocument/2006/relationships/hyperlink" Target="https://www.diodes.com/part/view/MMBD7000" TargetMode="External"/><Relationship Id="rId_hyperlink_186" Type="http://schemas.openxmlformats.org/officeDocument/2006/relationships/hyperlink" Target="https://www.diodes.com/part/view/MMBD7000HC" TargetMode="External"/><Relationship Id="rId_hyperlink_187" Type="http://schemas.openxmlformats.org/officeDocument/2006/relationships/hyperlink" Target="https://www.diodes.com/part/view/MMBD7000HS" TargetMode="External"/><Relationship Id="rId_hyperlink_188" Type="http://schemas.openxmlformats.org/officeDocument/2006/relationships/hyperlink" Target="https://www.diodes.com/part/view/MMBD914" TargetMode="External"/><Relationship Id="rId_hyperlink_189" Type="http://schemas.openxmlformats.org/officeDocument/2006/relationships/hyperlink" Target="https://www.diodes.com/part/view/SDA004" TargetMode="External"/><Relationship Id="rId_hyperlink_190" Type="http://schemas.openxmlformats.org/officeDocument/2006/relationships/hyperlink" Target="https://www.diodes.com/part/view/SDA006" TargetMode="External"/><Relationship Id="rId_hyperlink_191" Type="http://schemas.openxmlformats.org/officeDocument/2006/relationships/hyperlink" Target="https://www.diodes.com/assets/Datasheets/BAV16W_1N4148W.pdf" TargetMode="External"/><Relationship Id="rId_hyperlink_192" Type="http://schemas.openxmlformats.org/officeDocument/2006/relationships/hyperlink" Target="https://www.diodes.com/assets/Datasheets/BAV16W_1N4148W.pdf" TargetMode="External"/><Relationship Id="rId_hyperlink_193" Type="http://schemas.openxmlformats.org/officeDocument/2006/relationships/hyperlink" Target="https://www.diodes.com/assets/Datasheets/1N4148WS_BAV16WS.pdf" TargetMode="External"/><Relationship Id="rId_hyperlink_194" Type="http://schemas.openxmlformats.org/officeDocument/2006/relationships/hyperlink" Target="https://www.diodes.com/assets/Datasheets/1N4148WS_LS.pdf" TargetMode="External"/><Relationship Id="rId_hyperlink_195" Type="http://schemas.openxmlformats.org/officeDocument/2006/relationships/hyperlink" Target="https://www.diodes.com/assets/Datasheets/1N4148WSF.pdf" TargetMode="External"/><Relationship Id="rId_hyperlink_196" Type="http://schemas.openxmlformats.org/officeDocument/2006/relationships/hyperlink" Target="https://www.diodes.com/assets/Datasheets/1N4148WS_BAV16WS.pdf" TargetMode="External"/><Relationship Id="rId_hyperlink_197" Type="http://schemas.openxmlformats.org/officeDocument/2006/relationships/hyperlink" Target="https://www.diodes.com/assets/Datasheets/1N4148WT.pdf" TargetMode="External"/><Relationship Id="rId_hyperlink_198" Type="http://schemas.openxmlformats.org/officeDocument/2006/relationships/hyperlink" Target="https://www.diodes.com/assets/Datasheets/1N4148WTF_LS.pdf" TargetMode="External"/><Relationship Id="rId_hyperlink_199" Type="http://schemas.openxmlformats.org/officeDocument/2006/relationships/hyperlink" Target="https://www.diodes.com/assets/Datasheets/ds30590.pdf" TargetMode="External"/><Relationship Id="rId_hyperlink_200" Type="http://schemas.openxmlformats.org/officeDocument/2006/relationships/hyperlink" Target="https://www.diodes.com/assets/Datasheets/ds30196.pdf" TargetMode="External"/><Relationship Id="rId_hyperlink_201" Type="http://schemas.openxmlformats.org/officeDocument/2006/relationships/hyperlink" Target="https://www.diodes.com/assets/Datasheets/ds30196.pdf" TargetMode="External"/><Relationship Id="rId_hyperlink_202" Type="http://schemas.openxmlformats.org/officeDocument/2006/relationships/hyperlink" Target="https://www.diodes.com/assets/Datasheets/1N4448HWT.pdf" TargetMode="External"/><Relationship Id="rId_hyperlink_203" Type="http://schemas.openxmlformats.org/officeDocument/2006/relationships/hyperlink" Target="https://www.diodes.com/assets/Datasheets/1N4448W.pdf" TargetMode="External"/><Relationship Id="rId_hyperlink_204" Type="http://schemas.openxmlformats.org/officeDocument/2006/relationships/hyperlink" Target="https://www.diodes.com/assets/Datasheets/ds30096.pdf" TargetMode="External"/><Relationship Id="rId_hyperlink_205" Type="http://schemas.openxmlformats.org/officeDocument/2006/relationships/hyperlink" Target="https://www.diodes.com/assets/Datasheets/1N4448WSF.pdf" TargetMode="External"/><Relationship Id="rId_hyperlink_206" Type="http://schemas.openxmlformats.org/officeDocument/2006/relationships/hyperlink" Target="https://www.diodes.com/assets/Datasheets/1N4448WTF_LS.pdf" TargetMode="External"/><Relationship Id="rId_hyperlink_207" Type="http://schemas.openxmlformats.org/officeDocument/2006/relationships/hyperlink" Target="https://www.diodes.com/assets/Datasheets/1SS355_LS.pdf" TargetMode="External"/><Relationship Id="rId_hyperlink_208" Type="http://schemas.openxmlformats.org/officeDocument/2006/relationships/hyperlink" Target="https://www.diodes.com/assets/Datasheets/1SS361LP3.pdf" TargetMode="External"/><Relationship Id="rId_hyperlink_209" Type="http://schemas.openxmlformats.org/officeDocument/2006/relationships/hyperlink" Target="https://www.diodes.com/assets/Datasheets/1SS361LPH4.pdf" TargetMode="External"/><Relationship Id="rId_hyperlink_210" Type="http://schemas.openxmlformats.org/officeDocument/2006/relationships/hyperlink" Target="https://www.diodes.com/assets/Datasheets/1SS361UDJ.pdf" TargetMode="External"/><Relationship Id="rId_hyperlink_211" Type="http://schemas.openxmlformats.org/officeDocument/2006/relationships/hyperlink" Target="https://www.diodes.com/assets/Datasheets/1SS400_LS.pdf" TargetMode="External"/><Relationship Id="rId_hyperlink_212" Type="http://schemas.openxmlformats.org/officeDocument/2006/relationships/hyperlink" Target="https://www.diodes.com/assets/Datasheets/1SS400F_LS.pdf" TargetMode="External"/><Relationship Id="rId_hyperlink_213" Type="http://schemas.openxmlformats.org/officeDocument/2006/relationships/hyperlink" Target="https://www.diodes.com/assets/Datasheets/ds12009.pdf" TargetMode="External"/><Relationship Id="rId_hyperlink_214" Type="http://schemas.openxmlformats.org/officeDocument/2006/relationships/hyperlink" Target="https://www.diodes.com/assets/Datasheets/ds30233.pdf" TargetMode="External"/><Relationship Id="rId_hyperlink_215" Type="http://schemas.openxmlformats.org/officeDocument/2006/relationships/hyperlink" Target="https://www.diodes.com/assets/Datasheets/BAS116LPH4.pdf" TargetMode="External"/><Relationship Id="rId_hyperlink_216" Type="http://schemas.openxmlformats.org/officeDocument/2006/relationships/hyperlink" Target="https://www.diodes.com/assets/Datasheets/ds30258.pdf" TargetMode="External"/><Relationship Id="rId_hyperlink_217" Type="http://schemas.openxmlformats.org/officeDocument/2006/relationships/hyperlink" Target="https://www.diodes.com/assets/Datasheets/ds30562.pdf" TargetMode="External"/><Relationship Id="rId_hyperlink_218" Type="http://schemas.openxmlformats.org/officeDocument/2006/relationships/hyperlink" Target="https://www.diodes.com/assets/Datasheets/BAS16_MMBD4148_MMBD914.pdf" TargetMode="External"/><Relationship Id="rId_hyperlink_219" Type="http://schemas.openxmlformats.org/officeDocument/2006/relationships/hyperlink" Target="https://www.diodes.com/assets/Datasheets/BAS16F_LS.pdf" TargetMode="External"/><Relationship Id="rId_hyperlink_220" Type="http://schemas.openxmlformats.org/officeDocument/2006/relationships/hyperlink" Target="https://www.diodes.com/assets/Datasheets/ds31740.pdf" TargetMode="External"/><Relationship Id="rId_hyperlink_221" Type="http://schemas.openxmlformats.org/officeDocument/2006/relationships/hyperlink" Target="https://www.diodes.com/assets/Datasheets/BAS16HLPQ.pdf" TargetMode="External"/><Relationship Id="rId_hyperlink_222" Type="http://schemas.openxmlformats.org/officeDocument/2006/relationships/hyperlink" Target="https://www.diodes.com/assets/Datasheets/BAS16HTW.pdf" TargetMode="External"/><Relationship Id="rId_hyperlink_223" Type="http://schemas.openxmlformats.org/officeDocument/2006/relationships/hyperlink" Target="https://www.diodes.com/assets/Datasheets/BAS16HTWQ.pdf" TargetMode="External"/><Relationship Id="rId_hyperlink_224" Type="http://schemas.openxmlformats.org/officeDocument/2006/relationships/hyperlink" Target="https://www.diodes.com/assets/Datasheets/BAS16LP.pdf" TargetMode="External"/><Relationship Id="rId_hyperlink_225" Type="http://schemas.openxmlformats.org/officeDocument/2006/relationships/hyperlink" Target="https://www.diodes.com/assets/Datasheets/BAS16LPQ.pdf" TargetMode="External"/><Relationship Id="rId_hyperlink_226" Type="http://schemas.openxmlformats.org/officeDocument/2006/relationships/hyperlink" Target="https://www.diodes.com/assets/Datasheets/BAS16T_BAW56T_BAV70T_BAV99T.pdf" TargetMode="External"/><Relationship Id="rId_hyperlink_227" Type="http://schemas.openxmlformats.org/officeDocument/2006/relationships/hyperlink" Target="https://www.diodes.com/assets/Datasheets/ds30154.pdf" TargetMode="External"/><Relationship Id="rId_hyperlink_228" Type="http://schemas.openxmlformats.org/officeDocument/2006/relationships/hyperlink" Target="https://www.diodes.com/assets/Datasheets/BAS16TWQ.pdf" TargetMode="External"/><Relationship Id="rId_hyperlink_229" Type="http://schemas.openxmlformats.org/officeDocument/2006/relationships/hyperlink" Target="https://www.diodes.com/assets/Datasheets/BAS16V.pdf" TargetMode="External"/><Relationship Id="rId_hyperlink_230" Type="http://schemas.openxmlformats.org/officeDocument/2006/relationships/hyperlink" Target="https://www.diodes.com/assets/Datasheets/BAS16VA.pdf" TargetMode="External"/><Relationship Id="rId_hyperlink_231" Type="http://schemas.openxmlformats.org/officeDocument/2006/relationships/hyperlink" Target="https://www.diodes.com/assets/Datasheets/BAS16VAQ.pdf" TargetMode="External"/><Relationship Id="rId_hyperlink_232" Type="http://schemas.openxmlformats.org/officeDocument/2006/relationships/hyperlink" Target="https://www.diodes.com/assets/Datasheets/BAS16VV.pdf" TargetMode="External"/><Relationship Id="rId_hyperlink_233" Type="http://schemas.openxmlformats.org/officeDocument/2006/relationships/hyperlink" Target="https://www.diodes.com/assets/Datasheets/BAS16VVQ.pdf" TargetMode="External"/><Relationship Id="rId_hyperlink_234" Type="http://schemas.openxmlformats.org/officeDocument/2006/relationships/hyperlink" Target="https://www.diodes.com/assets/Datasheets/MMBD4148W_BAS16W.pdf" TargetMode="External"/><Relationship Id="rId_hyperlink_235" Type="http://schemas.openxmlformats.org/officeDocument/2006/relationships/hyperlink" Target="https://www.diodes.com/assets/Datasheets/BAS16W_LS.pdf" TargetMode="External"/><Relationship Id="rId_hyperlink_236" Type="http://schemas.openxmlformats.org/officeDocument/2006/relationships/hyperlink" Target="https://www.diodes.com/assets/Datasheets/Ds12004.pdf" TargetMode="External"/><Relationship Id="rId_hyperlink_237" Type="http://schemas.openxmlformats.org/officeDocument/2006/relationships/hyperlink" Target="https://www.diodes.com/assets/Datasheets/BAS19W-BAS21W.pdf" TargetMode="External"/><Relationship Id="rId_hyperlink_238" Type="http://schemas.openxmlformats.org/officeDocument/2006/relationships/hyperlink" Target="https://www.diodes.com/assets/Datasheets/Ds12004.pdf" TargetMode="External"/><Relationship Id="rId_hyperlink_239" Type="http://schemas.openxmlformats.org/officeDocument/2006/relationships/hyperlink" Target="https://www.diodes.com/assets/Datasheets/Ds30617.pdf" TargetMode="External"/><Relationship Id="rId_hyperlink_240" Type="http://schemas.openxmlformats.org/officeDocument/2006/relationships/hyperlink" Target="https://www.diodes.com/assets/Datasheets/BAS19W-BAS21W.pdf" TargetMode="External"/><Relationship Id="rId_hyperlink_241" Type="http://schemas.openxmlformats.org/officeDocument/2006/relationships/hyperlink" Target="https://www.diodes.com/assets/Datasheets/Ds12004.pdf" TargetMode="External"/><Relationship Id="rId_hyperlink_242" Type="http://schemas.openxmlformats.org/officeDocument/2006/relationships/hyperlink" Target="https://www.diodes.com/assets/Datasheets/BAS21_LS.pdf" TargetMode="External"/><Relationship Id="rId_hyperlink_243" Type="http://schemas.openxmlformats.org/officeDocument/2006/relationships/hyperlink" Target="https://www.diodes.com/assets/Datasheets/BAS21C_LS.pdf" TargetMode="External"/><Relationship Id="rId_hyperlink_244" Type="http://schemas.openxmlformats.org/officeDocument/2006/relationships/hyperlink" Target="https://www.diodes.com/assets/Datasheets/Ds30617.pdf" TargetMode="External"/><Relationship Id="rId_hyperlink_245" Type="http://schemas.openxmlformats.org/officeDocument/2006/relationships/hyperlink" Target="https://www.diodes.com/assets/Datasheets/BAS21DWA.pdf" TargetMode="External"/><Relationship Id="rId_hyperlink_246" Type="http://schemas.openxmlformats.org/officeDocument/2006/relationships/hyperlink" Target="https://www.diodes.com/assets/Datasheets/BAS21S_LS.pdf" TargetMode="External"/><Relationship Id="rId_hyperlink_247" Type="http://schemas.openxmlformats.org/officeDocument/2006/relationships/hyperlink" Target="https://www.diodes.com/assets/Datasheets/Ds30264.pdf" TargetMode="External"/><Relationship Id="rId_hyperlink_248" Type="http://schemas.openxmlformats.org/officeDocument/2006/relationships/hyperlink" Target="https://www.diodes.com/assets/Datasheets/BAS21TM.pdf" TargetMode="External"/><Relationship Id="rId_hyperlink_249" Type="http://schemas.openxmlformats.org/officeDocument/2006/relationships/hyperlink" Target="https://www.diodes.com/assets/Datasheets/BAS21TMQ.pdf" TargetMode="External"/><Relationship Id="rId_hyperlink_250" Type="http://schemas.openxmlformats.org/officeDocument/2006/relationships/hyperlink" Target="https://www.diodes.com/assets/Datasheets/BAS21TW.pdf" TargetMode="External"/><Relationship Id="rId_hyperlink_251" Type="http://schemas.openxmlformats.org/officeDocument/2006/relationships/hyperlink" Target="https://www.diodes.com/assets/Datasheets/BAS21TWQ.pdf" TargetMode="External"/><Relationship Id="rId_hyperlink_252" Type="http://schemas.openxmlformats.org/officeDocument/2006/relationships/hyperlink" Target="https://www.diodes.com/assets/Datasheets/BAS19W-BAS21W.pdf" TargetMode="External"/><Relationship Id="rId_hyperlink_253" Type="http://schemas.openxmlformats.org/officeDocument/2006/relationships/hyperlink" Target="https://www.diodes.com/assets/Datasheets/BAS21WQ.pdf" TargetMode="External"/><Relationship Id="rId_hyperlink_254" Type="http://schemas.openxmlformats.org/officeDocument/2006/relationships/hyperlink" Target="https://www.diodes.com/assets/Datasheets/BAS28.pdf" TargetMode="External"/><Relationship Id="rId_hyperlink_255" Type="http://schemas.openxmlformats.org/officeDocument/2006/relationships/hyperlink" Target="https://www.diodes.com/assets/Datasheets/BAS28Q.pdf" TargetMode="External"/><Relationship Id="rId_hyperlink_256" Type="http://schemas.openxmlformats.org/officeDocument/2006/relationships/hyperlink" Target="https://www.diodes.com/assets/Datasheets/BAS299.pdf" TargetMode="External"/><Relationship Id="rId_hyperlink_257" Type="http://schemas.openxmlformats.org/officeDocument/2006/relationships/hyperlink" Target="https://www.diodes.com/assets/Datasheets/BAS516_LS.pdf" TargetMode="External"/><Relationship Id="rId_hyperlink_258" Type="http://schemas.openxmlformats.org/officeDocument/2006/relationships/hyperlink" Target="https://www.diodes.com/assets/Datasheets/ds32175.pdf" TargetMode="External"/><Relationship Id="rId_hyperlink_259" Type="http://schemas.openxmlformats.org/officeDocument/2006/relationships/hyperlink" Target="https://www.diodes.com/assets/Datasheets/BAS521Q.pdf" TargetMode="External"/><Relationship Id="rId_hyperlink_260" Type="http://schemas.openxmlformats.org/officeDocument/2006/relationships/hyperlink" Target="https://www.diodes.com/assets/Datasheets/BAV116HWF.pdf" TargetMode="External"/><Relationship Id="rId_hyperlink_261" Type="http://schemas.openxmlformats.org/officeDocument/2006/relationships/hyperlink" Target="https://www.diodes.com/assets/Datasheets/BAV116HWFQ.pdf" TargetMode="External"/><Relationship Id="rId_hyperlink_262" Type="http://schemas.openxmlformats.org/officeDocument/2006/relationships/hyperlink" Target="https://www.diodes.com/assets/Datasheets/BAV116T.pdf" TargetMode="External"/><Relationship Id="rId_hyperlink_263" Type="http://schemas.openxmlformats.org/officeDocument/2006/relationships/hyperlink" Target="https://www.diodes.com/assets/Datasheets/ds30291.pdf" TargetMode="External"/><Relationship Id="rId_hyperlink_264" Type="http://schemas.openxmlformats.org/officeDocument/2006/relationships/hyperlink" Target="https://www.diodes.com/assets/Datasheets/BAV116WQ.pdf" TargetMode="External"/><Relationship Id="rId_hyperlink_265" Type="http://schemas.openxmlformats.org/officeDocument/2006/relationships/hyperlink" Target="https://www.diodes.com/assets/Datasheets/BAV116WS2.pdf" TargetMode="External"/><Relationship Id="rId_hyperlink_266" Type="http://schemas.openxmlformats.org/officeDocument/2006/relationships/hyperlink" Target="https://www.diodes.com/assets/Datasheets/BAV116WSQ.pdf" TargetMode="External"/><Relationship Id="rId_hyperlink_267" Type="http://schemas.openxmlformats.org/officeDocument/2006/relationships/hyperlink" Target="https://www.diodes.com/assets/Datasheets/BAV16S92.pdf" TargetMode="External"/><Relationship Id="rId_hyperlink_268" Type="http://schemas.openxmlformats.org/officeDocument/2006/relationships/hyperlink" Target="https://www.diodes.com/assets/Datasheets/BAV16W_1N4148W.pdf" TargetMode="External"/><Relationship Id="rId_hyperlink_269" Type="http://schemas.openxmlformats.org/officeDocument/2006/relationships/hyperlink" Target="https://www.diodes.com/assets/Datasheets/1N4148WS_BAV16WS.pdf" TargetMode="External"/><Relationship Id="rId_hyperlink_270" Type="http://schemas.openxmlformats.org/officeDocument/2006/relationships/hyperlink" Target="https://www.diodes.com/assets/Datasheets/ds30234.pdf" TargetMode="External"/><Relationship Id="rId_hyperlink_271" Type="http://schemas.openxmlformats.org/officeDocument/2006/relationships/hyperlink" Target="https://www.diodes.com/assets/Datasheets/ds30258.pdf" TargetMode="External"/><Relationship Id="rId_hyperlink_272" Type="http://schemas.openxmlformats.org/officeDocument/2006/relationships/hyperlink" Target="https://www.diodes.com/assets/Datasheets/ds30232.pdf" TargetMode="External"/><Relationship Id="rId_hyperlink_273" Type="http://schemas.openxmlformats.org/officeDocument/2006/relationships/hyperlink" Target="https://www.diodes.com/assets/Datasheets/ds30417.pdf" TargetMode="External"/><Relationship Id="rId_hyperlink_274" Type="http://schemas.openxmlformats.org/officeDocument/2006/relationships/hyperlink" Target="https://www.diodes.com/assets/Datasheets/BAV199DWQ.pdf" TargetMode="External"/><Relationship Id="rId_hyperlink_275" Type="http://schemas.openxmlformats.org/officeDocument/2006/relationships/hyperlink" Target="https://www.diodes.com/assets/Datasheets/ds30258.pdf" TargetMode="External"/><Relationship Id="rId_hyperlink_276" Type="http://schemas.openxmlformats.org/officeDocument/2006/relationships/hyperlink" Target="https://www.diodes.com/assets/Datasheets/BAV199TQ.pdf" TargetMode="External"/><Relationship Id="rId_hyperlink_277" Type="http://schemas.openxmlformats.org/officeDocument/2006/relationships/hyperlink" Target="https://www.diodes.com/assets/Datasheets/ds30462.pdf" TargetMode="External"/><Relationship Id="rId_hyperlink_278" Type="http://schemas.openxmlformats.org/officeDocument/2006/relationships/hyperlink" Target="https://www.diodes.com/assets/Datasheets/BAV199WQ.pdf" TargetMode="External"/><Relationship Id="rId_hyperlink_279" Type="http://schemas.openxmlformats.org/officeDocument/2006/relationships/hyperlink" Target="https://www.diodes.com/assets/Datasheets/BAV19W-BAV21W.pdf" TargetMode="External"/><Relationship Id="rId_hyperlink_280" Type="http://schemas.openxmlformats.org/officeDocument/2006/relationships/hyperlink" Target="https://www.diodes.com/assets/Datasheets/BAV19WS-BAV21WS.pdf" TargetMode="External"/><Relationship Id="rId_hyperlink_281" Type="http://schemas.openxmlformats.org/officeDocument/2006/relationships/hyperlink" Target="https://www.diodes.com/assets/Datasheets/BAV19W-BAV21W.pdf" TargetMode="External"/><Relationship Id="rId_hyperlink_282" Type="http://schemas.openxmlformats.org/officeDocument/2006/relationships/hyperlink" Target="https://www.diodes.com/assets/Datasheets/BAV19WS-BAV21WS.pdf" TargetMode="External"/><Relationship Id="rId_hyperlink_283" Type="http://schemas.openxmlformats.org/officeDocument/2006/relationships/hyperlink" Target="https://www.diodes.com/assets/Datasheets/BAV21HWF.pdf" TargetMode="External"/><Relationship Id="rId_hyperlink_284" Type="http://schemas.openxmlformats.org/officeDocument/2006/relationships/hyperlink" Target="https://www.diodes.com/assets/Datasheets/BAV21HWFQ.pdf" TargetMode="External"/><Relationship Id="rId_hyperlink_285" Type="http://schemas.openxmlformats.org/officeDocument/2006/relationships/hyperlink" Target="https://www.diodes.com/assets/Datasheets/BAV19W-BAV21W.pdf" TargetMode="External"/><Relationship Id="rId_hyperlink_286" Type="http://schemas.openxmlformats.org/officeDocument/2006/relationships/hyperlink" Target="https://www.diodes.com/assets/Datasheets/BAV21W_LS.pdf" TargetMode="External"/><Relationship Id="rId_hyperlink_287" Type="http://schemas.openxmlformats.org/officeDocument/2006/relationships/hyperlink" Target="https://www.diodes.com/assets/Datasheets/BAV21WF_LS.pdf" TargetMode="External"/><Relationship Id="rId_hyperlink_288" Type="http://schemas.openxmlformats.org/officeDocument/2006/relationships/hyperlink" Target="https://www.diodes.com/assets/Datasheets/BAV19WS-BAV21WS.pdf" TargetMode="External"/><Relationship Id="rId_hyperlink_289" Type="http://schemas.openxmlformats.org/officeDocument/2006/relationships/hyperlink" Target="https://www.diodes.com/assets/Datasheets/BAV21WS_LS.pdf" TargetMode="External"/><Relationship Id="rId_hyperlink_290" Type="http://schemas.openxmlformats.org/officeDocument/2006/relationships/hyperlink" Target="https://www.diodes.com/assets/Datasheets/ds31756.pdf" TargetMode="External"/><Relationship Id="rId_hyperlink_291" Type="http://schemas.openxmlformats.org/officeDocument/2006/relationships/hyperlink" Target="https://www.diodes.com/assets/Datasheets/BAV23A_C_S.pdf" TargetMode="External"/><Relationship Id="rId_hyperlink_292" Type="http://schemas.openxmlformats.org/officeDocument/2006/relationships/hyperlink" Target="https://www.diodes.com/assets/Datasheets/BAV23AQ_CQ_SQ.pdf" TargetMode="External"/><Relationship Id="rId_hyperlink_293" Type="http://schemas.openxmlformats.org/officeDocument/2006/relationships/hyperlink" Target="https://www.diodes.com/assets/Datasheets/BAV23A_C_S.pdf" TargetMode="External"/><Relationship Id="rId_hyperlink_294" Type="http://schemas.openxmlformats.org/officeDocument/2006/relationships/hyperlink" Target="https://www.diodes.com/assets/Datasheets/BAV23AQ_CQ_SQ.pdf" TargetMode="External"/><Relationship Id="rId_hyperlink_295" Type="http://schemas.openxmlformats.org/officeDocument/2006/relationships/hyperlink" Target="https://www.diodes.com/assets/Datasheets/BAV23A_C_S.pdf" TargetMode="External"/><Relationship Id="rId_hyperlink_296" Type="http://schemas.openxmlformats.org/officeDocument/2006/relationships/hyperlink" Target="https://www.diodes.com/assets/Datasheets/BAV23AQ_CQ_SQ.pdf" TargetMode="External"/><Relationship Id="rId_hyperlink_297" Type="http://schemas.openxmlformats.org/officeDocument/2006/relationships/hyperlink" Target="https://www.diodes.com/assets/Datasheets/BAV70.pdf" TargetMode="External"/><Relationship Id="rId_hyperlink_298" Type="http://schemas.openxmlformats.org/officeDocument/2006/relationships/hyperlink" Target="https://www.diodes.com/assets/Datasheets/BAV70_LS.pdf" TargetMode="External"/><Relationship Id="rId_hyperlink_299" Type="http://schemas.openxmlformats.org/officeDocument/2006/relationships/hyperlink" Target="https://www.diodes.com/assets/Datasheets/BAV70DV.pdf" TargetMode="External"/><Relationship Id="rId_hyperlink_300" Type="http://schemas.openxmlformats.org/officeDocument/2006/relationships/hyperlink" Target="https://www.diodes.com/assets/Datasheets/BAV70DW.pdf" TargetMode="External"/><Relationship Id="rId_hyperlink_301" Type="http://schemas.openxmlformats.org/officeDocument/2006/relationships/hyperlink" Target="https://www.diodes.com/assets/Datasheets/BAV70HDW.pdf" TargetMode="External"/><Relationship Id="rId_hyperlink_302" Type="http://schemas.openxmlformats.org/officeDocument/2006/relationships/hyperlink" Target="https://www.diodes.com/assets/Datasheets/BAV70HDWQ.pdf" TargetMode="External"/><Relationship Id="rId_hyperlink_303" Type="http://schemas.openxmlformats.org/officeDocument/2006/relationships/hyperlink" Target="https://www.diodes.com/assets/Datasheets/ds31597.pdf" TargetMode="External"/><Relationship Id="rId_hyperlink_304" Type="http://schemas.openxmlformats.org/officeDocument/2006/relationships/hyperlink" Target="https://www.diodes.com/assets/Datasheets/BAS16T_BAW56T_BAV70T_BAV99T.pdf" TargetMode="External"/><Relationship Id="rId_hyperlink_305" Type="http://schemas.openxmlformats.org/officeDocument/2006/relationships/hyperlink" Target="https://www.diodes.com/assets/Datasheets/BAV70W.pdf" TargetMode="External"/><Relationship Id="rId_hyperlink_306" Type="http://schemas.openxmlformats.org/officeDocument/2006/relationships/hyperlink" Target="https://www.diodes.com/assets/Datasheets/BAV70W_LS.pdf" TargetMode="External"/><Relationship Id="rId_hyperlink_307" Type="http://schemas.openxmlformats.org/officeDocument/2006/relationships/hyperlink" Target="https://www.diodes.com/assets/Datasheets/ds30148.pdf" TargetMode="External"/><Relationship Id="rId_hyperlink_308" Type="http://schemas.openxmlformats.org/officeDocument/2006/relationships/hyperlink" Target="https://www.diodes.com/assets/Datasheets/BAV99.pdf" TargetMode="External"/><Relationship Id="rId_hyperlink_309" Type="http://schemas.openxmlformats.org/officeDocument/2006/relationships/hyperlink" Target="https://www.diodes.com/assets/Datasheets/BAV99_LS.pdf" TargetMode="External"/><Relationship Id="rId_hyperlink_310" Type="http://schemas.openxmlformats.org/officeDocument/2006/relationships/hyperlink" Target="https://www.diodes.com/assets/Datasheets/BAV99BRV.pdf" TargetMode="External"/><Relationship Id="rId_hyperlink_311" Type="http://schemas.openxmlformats.org/officeDocument/2006/relationships/hyperlink" Target="https://www.diodes.com/assets/Datasheets/BAV99BRV.pdf" TargetMode="External"/><Relationship Id="rId_hyperlink_312" Type="http://schemas.openxmlformats.org/officeDocument/2006/relationships/hyperlink" Target="https://www.diodes.com/assets/Datasheets/BAV99BRW.pdf" TargetMode="External"/><Relationship Id="rId_hyperlink_313" Type="http://schemas.openxmlformats.org/officeDocument/2006/relationships/hyperlink" Target="https://www.diodes.com/assets/Datasheets/BAV99DW.pdf" TargetMode="External"/><Relationship Id="rId_hyperlink_314" Type="http://schemas.openxmlformats.org/officeDocument/2006/relationships/hyperlink" Target="https://www.diodes.com/assets/Datasheets/BAV99DWQ.pdf" TargetMode="External"/><Relationship Id="rId_hyperlink_315" Type="http://schemas.openxmlformats.org/officeDocument/2006/relationships/hyperlink" Target="https://www.diodes.com/assets/Datasheets/BAV99HDW.pdf" TargetMode="External"/><Relationship Id="rId_hyperlink_316" Type="http://schemas.openxmlformats.org/officeDocument/2006/relationships/hyperlink" Target="https://www.diodes.com/assets/Datasheets/BAV99HDWQ.pdf" TargetMode="External"/><Relationship Id="rId_hyperlink_317" Type="http://schemas.openxmlformats.org/officeDocument/2006/relationships/hyperlink" Target="https://www.diodes.com/assets/Datasheets/BAV99.pdf" TargetMode="External"/><Relationship Id="rId_hyperlink_318" Type="http://schemas.openxmlformats.org/officeDocument/2006/relationships/hyperlink" Target="https://www.diodes.com/assets/Datasheets/BAS16T_BAW56T_BAV70T_BAV99T.pdf" TargetMode="External"/><Relationship Id="rId_hyperlink_319" Type="http://schemas.openxmlformats.org/officeDocument/2006/relationships/hyperlink" Target="https://www.diodes.com/assets/Datasheets/BAV99W.pdf" TargetMode="External"/><Relationship Id="rId_hyperlink_320" Type="http://schemas.openxmlformats.org/officeDocument/2006/relationships/hyperlink" Target="https://www.diodes.com/assets/Datasheets/BAV99W_LS.pdf" TargetMode="External"/><Relationship Id="rId_hyperlink_321" Type="http://schemas.openxmlformats.org/officeDocument/2006/relationships/hyperlink" Target="https://www.diodes.com/assets/Datasheets/ds32092.pdf" TargetMode="External"/><Relationship Id="rId_hyperlink_322" Type="http://schemas.openxmlformats.org/officeDocument/2006/relationships/hyperlink" Target="https://www.diodes.com/assets/Datasheets/BAW101Q.pdf" TargetMode="External"/><Relationship Id="rId_hyperlink_323" Type="http://schemas.openxmlformats.org/officeDocument/2006/relationships/hyperlink" Target="https://www.diodes.com/assets/Datasheets/ds32177.pdf" TargetMode="External"/><Relationship Id="rId_hyperlink_324" Type="http://schemas.openxmlformats.org/officeDocument/2006/relationships/hyperlink" Target="https://www.diodes.com/assets/Datasheets/ds30231.pdf" TargetMode="External"/><Relationship Id="rId_hyperlink_325" Type="http://schemas.openxmlformats.org/officeDocument/2006/relationships/hyperlink" Target="https://www.diodes.com/assets/Datasheets/ds30258.pdf" TargetMode="External"/><Relationship Id="rId_hyperlink_326" Type="http://schemas.openxmlformats.org/officeDocument/2006/relationships/hyperlink" Target="https://www.diodes.com/assets/Datasheets/BAW156TQ.pdf" TargetMode="External"/><Relationship Id="rId_hyperlink_327" Type="http://schemas.openxmlformats.org/officeDocument/2006/relationships/hyperlink" Target="https://www.diodes.com/assets/Datasheets/ds12008.pdf" TargetMode="External"/><Relationship Id="rId_hyperlink_328" Type="http://schemas.openxmlformats.org/officeDocument/2006/relationships/hyperlink" Target="https://www.diodes.com/assets/Datasheets/BAW56_LS.pdf" TargetMode="External"/><Relationship Id="rId_hyperlink_329" Type="http://schemas.openxmlformats.org/officeDocument/2006/relationships/hyperlink" Target="https://www.diodes.com/assets/Datasheets/ds30147.pdf" TargetMode="External"/><Relationship Id="rId_hyperlink_330" Type="http://schemas.openxmlformats.org/officeDocument/2006/relationships/hyperlink" Target="https://www.diodes.com/assets/Datasheets/ds30146.pdf" TargetMode="External"/><Relationship Id="rId_hyperlink_331" Type="http://schemas.openxmlformats.org/officeDocument/2006/relationships/hyperlink" Target="https://www.diodes.com/assets/Datasheets/BAW56HDW.pdf" TargetMode="External"/><Relationship Id="rId_hyperlink_332" Type="http://schemas.openxmlformats.org/officeDocument/2006/relationships/hyperlink" Target="https://www.diodes.com/assets/Datasheets/BAW56HDWQ.pdf" TargetMode="External"/><Relationship Id="rId_hyperlink_333" Type="http://schemas.openxmlformats.org/officeDocument/2006/relationships/hyperlink" Target="https://www.diodes.com/assets/Datasheets/BAS16T_BAW56T_BAV70T_BAV99T.pdf" TargetMode="External"/><Relationship Id="rId_hyperlink_334" Type="http://schemas.openxmlformats.org/officeDocument/2006/relationships/hyperlink" Target="https://www.diodes.com/assets/Datasheets/BAW56W.pdf" TargetMode="External"/><Relationship Id="rId_hyperlink_335" Type="http://schemas.openxmlformats.org/officeDocument/2006/relationships/hyperlink" Target="https://www.diodes.com/assets/Datasheets/DHVSD3004AS_CS_SS.pdf" TargetMode="External"/><Relationship Id="rId_hyperlink_336" Type="http://schemas.openxmlformats.org/officeDocument/2006/relationships/hyperlink" Target="https://www.diodes.com/assets/Datasheets/DHVSD3004ASQ_CSQ_SSQ.pdf" TargetMode="External"/><Relationship Id="rId_hyperlink_337" Type="http://schemas.openxmlformats.org/officeDocument/2006/relationships/hyperlink" Target="https://www.diodes.com/assets/Datasheets/DHVSD3004AS_CS_SS.pdf" TargetMode="External"/><Relationship Id="rId_hyperlink_338" Type="http://schemas.openxmlformats.org/officeDocument/2006/relationships/hyperlink" Target="https://www.diodes.com/assets/Datasheets/DHVSD3004ASQ_CSQ_SSQ.pdf" TargetMode="External"/><Relationship Id="rId_hyperlink_339" Type="http://schemas.openxmlformats.org/officeDocument/2006/relationships/hyperlink" Target="https://www.diodes.com/assets/Datasheets/DHVSD3004S1.pdf" TargetMode="External"/><Relationship Id="rId_hyperlink_340" Type="http://schemas.openxmlformats.org/officeDocument/2006/relationships/hyperlink" Target="https://www.diodes.com/assets/Datasheets/DHVSD3004S1Q.pdf" TargetMode="External"/><Relationship Id="rId_hyperlink_341" Type="http://schemas.openxmlformats.org/officeDocument/2006/relationships/hyperlink" Target="https://www.diodes.com/assets/Datasheets/DHVSD3004AS_CS_SS.pdf" TargetMode="External"/><Relationship Id="rId_hyperlink_342" Type="http://schemas.openxmlformats.org/officeDocument/2006/relationships/hyperlink" Target="https://www.diodes.com/assets/Datasheets/DHVSD3004ASQ_CSQ_SSQ.pdf" TargetMode="External"/><Relationship Id="rId_hyperlink_343" Type="http://schemas.openxmlformats.org/officeDocument/2006/relationships/hyperlink" Target="https://www.diodes.com/assets/Datasheets/DHVSD521LP.pdf" TargetMode="External"/><Relationship Id="rId_hyperlink_344" Type="http://schemas.openxmlformats.org/officeDocument/2006/relationships/hyperlink" Target="https://www.diodes.com/assets/Datasheets/DHVSD521T5.pdf" TargetMode="External"/><Relationship Id="rId_hyperlink_345" Type="http://schemas.openxmlformats.org/officeDocument/2006/relationships/hyperlink" Target="https://www.diodes.com/assets/Datasheets/DLLFSD01LP3.pdf" TargetMode="External"/><Relationship Id="rId_hyperlink_346" Type="http://schemas.openxmlformats.org/officeDocument/2006/relationships/hyperlink" Target="https://www.diodes.com/assets/Datasheets/DLLFSD01LP3Q.pdf" TargetMode="External"/><Relationship Id="rId_hyperlink_347" Type="http://schemas.openxmlformats.org/officeDocument/2006/relationships/hyperlink" Target="https://www.diodes.com/assets/Datasheets/DLLFSD01LPH4.pdf" TargetMode="External"/><Relationship Id="rId_hyperlink_348" Type="http://schemas.openxmlformats.org/officeDocument/2006/relationships/hyperlink" Target="https://www.diodes.com/assets/Datasheets/DLLFSD01T.pdf" TargetMode="External"/><Relationship Id="rId_hyperlink_349" Type="http://schemas.openxmlformats.org/officeDocument/2006/relationships/hyperlink" Target="https://www.diodes.com/assets/Datasheets/ds31593.pdf" TargetMode="External"/><Relationship Id="rId_hyperlink_350" Type="http://schemas.openxmlformats.org/officeDocument/2006/relationships/hyperlink" Target="https://www.diodes.com/assets/Datasheets/LL4148_LS.pdf" TargetMode="External"/><Relationship Id="rId_hyperlink_351" Type="http://schemas.openxmlformats.org/officeDocument/2006/relationships/hyperlink" Target="https://www.diodes.com/assets/Datasheets/ds30281.pdf" TargetMode="External"/><Relationship Id="rId_hyperlink_352" Type="http://schemas.openxmlformats.org/officeDocument/2006/relationships/hyperlink" Target="https://www.diodes.com/assets/Datasheets/MMBD2004SQ.pdf" TargetMode="External"/><Relationship Id="rId_hyperlink_353" Type="http://schemas.openxmlformats.org/officeDocument/2006/relationships/hyperlink" Target="https://www.diodes.com/assets/Datasheets/ds30443.pdf" TargetMode="External"/><Relationship Id="rId_hyperlink_354" Type="http://schemas.openxmlformats.org/officeDocument/2006/relationships/hyperlink" Target="https://www.diodes.com/assets/Datasheets/BAS16_MMBD4148_MMBD914.pdf" TargetMode="External"/><Relationship Id="rId_hyperlink_355" Type="http://schemas.openxmlformats.org/officeDocument/2006/relationships/hyperlink" Target="https://www.diodes.com/assets/Datasheets/MMBD4148PLM.pdf" TargetMode="External"/><Relationship Id="rId_hyperlink_356" Type="http://schemas.openxmlformats.org/officeDocument/2006/relationships/hyperlink" Target="https://www.diodes.com/assets/Datasheets/ds30154.pdf" TargetMode="External"/><Relationship Id="rId_hyperlink_357" Type="http://schemas.openxmlformats.org/officeDocument/2006/relationships/hyperlink" Target="https://www.diodes.com/assets/Datasheets/MMBD4148W_BAS16W.pdf" TargetMode="External"/><Relationship Id="rId_hyperlink_358" Type="http://schemas.openxmlformats.org/officeDocument/2006/relationships/hyperlink" Target="https://www.diodes.com/assets/Datasheets/MMBD4448.pdf" TargetMode="External"/><Relationship Id="rId_hyperlink_359" Type="http://schemas.openxmlformats.org/officeDocument/2006/relationships/hyperlink" Target="https://www.diodes.com/assets/Datasheets/MMBD4448DW.pdf" TargetMode="External"/><Relationship Id="rId_hyperlink_360" Type="http://schemas.openxmlformats.org/officeDocument/2006/relationships/hyperlink" Target="https://www.diodes.com/assets/Datasheets/ds30176.pdf" TargetMode="External"/><Relationship Id="rId_hyperlink_361" Type="http://schemas.openxmlformats.org/officeDocument/2006/relationships/hyperlink" Target="https://www.diodes.com/assets/Datasheets/MMBD4448HCQW_AQW_ADW_CDW_SDW_TW.pdf" TargetMode="External"/><Relationship Id="rId_hyperlink_362" Type="http://schemas.openxmlformats.org/officeDocument/2006/relationships/hyperlink" Target="https://www.diodes.com/assets/Datasheets/MMBD4448HCQW_AQW_ADW_CDW_SDW_TW.pdf" TargetMode="External"/><Relationship Id="rId_hyperlink_363" Type="http://schemas.openxmlformats.org/officeDocument/2006/relationships/hyperlink" Target="https://www.diodes.com/assets/Datasheets/MMBD4448HCQW_AQW_ADW_CDW_SDW_TW.pdf" TargetMode="External"/><Relationship Id="rId_hyperlink_364" Type="http://schemas.openxmlformats.org/officeDocument/2006/relationships/hyperlink" Target="https://www.diodes.com/assets/Datasheets/MMBD4448HCQW_AQW_ADW_CDW_SDW_TW.pdf" TargetMode="External"/><Relationship Id="rId_hyperlink_365" Type="http://schemas.openxmlformats.org/officeDocument/2006/relationships/hyperlink" Target="https://www.diodes.com/assets/Datasheets/MMBD4448HCQW_AQW_ADW_CDW_SDW_TW.pdf" TargetMode="External"/><Relationship Id="rId_hyperlink_366" Type="http://schemas.openxmlformats.org/officeDocument/2006/relationships/hyperlink" Target="https://www.diodes.com/assets/Datasheets/ds30263.pdf" TargetMode="External"/><Relationship Id="rId_hyperlink_367" Type="http://schemas.openxmlformats.org/officeDocument/2006/relationships/hyperlink" Target="https://www.diodes.com/assets/Datasheets/ds30263.pdf" TargetMode="External"/><Relationship Id="rId_hyperlink_368" Type="http://schemas.openxmlformats.org/officeDocument/2006/relationships/hyperlink" Target="https://www.diodes.com/assets/Datasheets/ds30263.pdf" TargetMode="External"/><Relationship Id="rId_hyperlink_369" Type="http://schemas.openxmlformats.org/officeDocument/2006/relationships/hyperlink" Target="https://www.diodes.com/assets/Datasheets/ds30302.pdf" TargetMode="External"/><Relationship Id="rId_hyperlink_370" Type="http://schemas.openxmlformats.org/officeDocument/2006/relationships/hyperlink" Target="https://www.diodes.com/assets/Datasheets/ds30263.pdf" TargetMode="External"/><Relationship Id="rId_hyperlink_371" Type="http://schemas.openxmlformats.org/officeDocument/2006/relationships/hyperlink" Target="https://www.diodes.com/assets/Datasheets/MMBD4448HCQW_AQW_ADW_CDW_SDW_TW.pdf" TargetMode="External"/><Relationship Id="rId_hyperlink_372" Type="http://schemas.openxmlformats.org/officeDocument/2006/relationships/hyperlink" Target="https://www.diodes.com/assets/Datasheets/ds30228.pdf" TargetMode="External"/><Relationship Id="rId_hyperlink_373" Type="http://schemas.openxmlformats.org/officeDocument/2006/relationships/hyperlink" Target="https://www.diodes.com/assets/Datasheets/MMBD4448V.pdf" TargetMode="External"/><Relationship Id="rId_hyperlink_374" Type="http://schemas.openxmlformats.org/officeDocument/2006/relationships/hyperlink" Target="https://www.diodes.com/assets/Datasheets/ds30095.pdf" TargetMode="External"/><Relationship Id="rId_hyperlink_375" Type="http://schemas.openxmlformats.org/officeDocument/2006/relationships/hyperlink" Target="https://www.diodes.com/assets/Datasheets/MMBD7000.pdf" TargetMode="External"/><Relationship Id="rId_hyperlink_376" Type="http://schemas.openxmlformats.org/officeDocument/2006/relationships/hyperlink" Target="https://www.diodes.com/assets/Datasheets/MMBD7000HS_HC.pdf" TargetMode="External"/><Relationship Id="rId_hyperlink_377" Type="http://schemas.openxmlformats.org/officeDocument/2006/relationships/hyperlink" Target="https://www.diodes.com/assets/Datasheets/MMBD7000HS_HC.pdf" TargetMode="External"/><Relationship Id="rId_hyperlink_378" Type="http://schemas.openxmlformats.org/officeDocument/2006/relationships/hyperlink" Target="https://www.diodes.com/assets/Datasheets/BAS16_MMBD4148_MMBD914.pdf" TargetMode="External"/><Relationship Id="rId_hyperlink_379" Type="http://schemas.openxmlformats.org/officeDocument/2006/relationships/hyperlink" Target="https://www.diodes.com/assets/Datasheets/SDA004.pdf" TargetMode="External"/><Relationship Id="rId_hyperlink_380" Type="http://schemas.openxmlformats.org/officeDocument/2006/relationships/hyperlink" Target="https://www.diodes.com/assets/Datasheets/ds305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19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AF1"/>
    </sheetView>
  </sheetViews>
  <sheetFormatPr defaultRowHeight="14.4" outlineLevelRow="0" outlineLevelCol="0"/>
  <cols>
    <col min="1" max="1" width="16.425" bestFit="true" customWidth="true" style="0"/>
  </cols>
  <sheetData>
    <row r="1" spans="1:3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Rating(mW)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Average Rectifier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(mA)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 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 (mA)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V(BR)R (V) Min @IR=150μA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VF(V) Max @ IF=20mA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VF(V) Max @ IF=100mA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VF(V) Max @ IF=200mA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V(BR)R (V) Min @IR=100μA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Trr(ns) Max @ IF=IR=10 mA, Irr=0.1xIR, RL=100Ω</t>
          </r>
        </is>
      </c>
      <c r="W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(V)</t>
          </r>
        </is>
      </c>
      <c r="X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VF(V) Max @ IF=1.0mA</t>
          </r>
        </is>
      </c>
      <c r="Y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VF(V) Max @ IF=10mA</t>
          </r>
        </is>
      </c>
      <c r="Z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IR(nA) Max @ VR=5V</t>
          </r>
        </is>
      </c>
      <c r="AA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IR(µA) Max @ VR=30V</t>
          </r>
        </is>
      </c>
      <c r="AB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IR(uA) Max @ VR=80V</t>
          </r>
        </is>
      </c>
      <c r="AC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IR(μA) Max @ VR=240V</t>
          </r>
        </is>
      </c>
      <c r="A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CT(pF) Max @ VR = 0V, f = 1MHz</t>
          </r>
        </is>
      </c>
      <c r="A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Trr(ns) Max @ IF=IR=30 mA, Irr=0.1xIR, RL=100Ω</t>
          </r>
        </is>
      </c>
      <c r="AF1" s="1" t="s">
        <v>31</v>
      </c>
    </row>
    <row r="2" spans="1:32">
      <c r="A2" t="str">
        <f>Hyperlink("https://www.diodes.com/part/view/1N4148W","1N4148W")</f>
        <v>1N4148W</v>
      </c>
      <c r="B2" t="str">
        <f>Hyperlink("https://www.diodes.com/assets/Datasheets/BAV16W_1N4148W.pdf","1N4148W Datasheet")</f>
        <v>1N4148W Datasheet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>
        <v>400</v>
      </c>
      <c r="I2" t="s">
        <v>33</v>
      </c>
      <c r="J2">
        <v>100</v>
      </c>
      <c r="K2">
        <v>4</v>
      </c>
      <c r="L2">
        <v>150</v>
      </c>
      <c r="M2">
        <v>2</v>
      </c>
      <c r="N2">
        <v>1</v>
      </c>
      <c r="O2">
        <v>1</v>
      </c>
      <c r="Q2">
        <v>2</v>
      </c>
      <c r="U2" t="s">
        <v>37</v>
      </c>
      <c r="V2">
        <v>4</v>
      </c>
      <c r="W2">
        <v>75</v>
      </c>
      <c r="X2">
        <v>0.715</v>
      </c>
      <c r="Y2">
        <v>0.855</v>
      </c>
      <c r="AD2">
        <v>2</v>
      </c>
      <c r="AF2" t="s">
        <v>38</v>
      </c>
    </row>
    <row r="3" spans="1:32">
      <c r="A3" t="str">
        <f>Hyperlink("https://www.diodes.com/part/view/1N4148WQ","1N4148WQ")</f>
        <v>1N4148WQ</v>
      </c>
      <c r="B3" t="str">
        <f>Hyperlink("https://www.diodes.com/assets/Datasheets/BAV16W_1N4148W.pdf","1N4148WQ Datasheet")</f>
        <v>1N4148WQ Datasheet</v>
      </c>
      <c r="C3" t="s">
        <v>32</v>
      </c>
      <c r="D3" t="s">
        <v>39</v>
      </c>
      <c r="E3" t="s">
        <v>40</v>
      </c>
      <c r="F3" t="s">
        <v>35</v>
      </c>
      <c r="G3" t="s">
        <v>36</v>
      </c>
      <c r="H3">
        <v>400</v>
      </c>
      <c r="I3" t="s">
        <v>33</v>
      </c>
      <c r="J3">
        <v>100</v>
      </c>
      <c r="K3">
        <v>4</v>
      </c>
      <c r="L3">
        <v>150</v>
      </c>
      <c r="M3">
        <v>2</v>
      </c>
      <c r="N3">
        <v>1</v>
      </c>
      <c r="O3">
        <v>1</v>
      </c>
      <c r="Q3">
        <v>2</v>
      </c>
      <c r="U3" t="s">
        <v>37</v>
      </c>
      <c r="V3">
        <v>4</v>
      </c>
      <c r="W3">
        <v>75</v>
      </c>
      <c r="X3">
        <v>0.715</v>
      </c>
      <c r="Y3">
        <v>0.855</v>
      </c>
      <c r="AD3">
        <v>2</v>
      </c>
      <c r="AF3" t="s">
        <v>38</v>
      </c>
    </row>
    <row r="4" spans="1:32">
      <c r="A4" t="str">
        <f>Hyperlink("https://www.diodes.com/part/view/1N4148WS","1N4148WS")</f>
        <v>1N4148WS</v>
      </c>
      <c r="B4" t="str">
        <f>Hyperlink("https://www.diodes.com/assets/Datasheets/1N4148WS_BAV16WS.pdf","1N4148WS Datasheet")</f>
        <v>1N4148WS Datasheet</v>
      </c>
      <c r="C4" t="s">
        <v>32</v>
      </c>
      <c r="D4" t="s">
        <v>33</v>
      </c>
      <c r="E4" t="s">
        <v>34</v>
      </c>
      <c r="F4" t="s">
        <v>35</v>
      </c>
      <c r="G4" t="s">
        <v>36</v>
      </c>
      <c r="H4">
        <v>200</v>
      </c>
      <c r="I4" t="s">
        <v>33</v>
      </c>
      <c r="J4">
        <v>75</v>
      </c>
      <c r="K4">
        <v>4</v>
      </c>
      <c r="L4">
        <v>150</v>
      </c>
      <c r="M4">
        <v>2</v>
      </c>
      <c r="N4">
        <v>1</v>
      </c>
      <c r="O4">
        <v>1</v>
      </c>
      <c r="Q4">
        <v>2</v>
      </c>
      <c r="U4" t="s">
        <v>41</v>
      </c>
      <c r="V4">
        <v>4</v>
      </c>
      <c r="W4">
        <v>75</v>
      </c>
      <c r="X4">
        <v>0.715</v>
      </c>
      <c r="Y4">
        <v>0.855</v>
      </c>
      <c r="AD4">
        <v>2</v>
      </c>
      <c r="AF4" t="s">
        <v>42</v>
      </c>
    </row>
    <row r="5" spans="1:32">
      <c r="A5" t="str">
        <f>Hyperlink("https://www.diodes.com/part/view/1N4148WS%28LS%29","1N4148WS(LS)")</f>
        <v>1N4148WS(LS)</v>
      </c>
      <c r="B5" t="str">
        <f>Hyperlink("https://www.diodes.com/assets/Datasheets/1N4148WS_LS.pdf","1N4148WS(LS) Datasheet")</f>
        <v>1N4148WS(LS) Datasheet</v>
      </c>
      <c r="C5" t="s">
        <v>43</v>
      </c>
      <c r="D5" t="s">
        <v>33</v>
      </c>
      <c r="E5" t="s">
        <v>34</v>
      </c>
      <c r="F5" t="s">
        <v>35</v>
      </c>
      <c r="G5" t="s">
        <v>36</v>
      </c>
      <c r="H5">
        <v>200</v>
      </c>
      <c r="I5" t="s">
        <v>33</v>
      </c>
      <c r="J5">
        <v>75</v>
      </c>
      <c r="K5">
        <v>4</v>
      </c>
      <c r="L5">
        <v>150</v>
      </c>
      <c r="M5">
        <v>2</v>
      </c>
      <c r="N5">
        <v>10</v>
      </c>
      <c r="O5">
        <v>5</v>
      </c>
      <c r="U5">
        <v>75</v>
      </c>
      <c r="V5">
        <v>4</v>
      </c>
      <c r="W5">
        <v>75</v>
      </c>
      <c r="Y5">
        <v>1</v>
      </c>
      <c r="AB5" t="s">
        <v>44</v>
      </c>
      <c r="AD5">
        <v>4</v>
      </c>
      <c r="AF5" t="s">
        <v>45</v>
      </c>
    </row>
    <row r="6" spans="1:32">
      <c r="A6" t="str">
        <f>Hyperlink("https://www.diodes.com/part/view/1N4148WSF","1N4148WSF")</f>
        <v>1N4148WSF</v>
      </c>
      <c r="B6" t="str">
        <f>Hyperlink("https://www.diodes.com/assets/Datasheets/1N4148WSF.pdf","1N4148WSF Datasheet")</f>
        <v>1N4148WSF Datasheet</v>
      </c>
      <c r="C6" t="s">
        <v>32</v>
      </c>
      <c r="D6" t="s">
        <v>39</v>
      </c>
      <c r="E6" t="s">
        <v>34</v>
      </c>
      <c r="F6" t="s">
        <v>35</v>
      </c>
      <c r="G6" t="s">
        <v>36</v>
      </c>
      <c r="H6">
        <v>350</v>
      </c>
      <c r="I6" t="s">
        <v>33</v>
      </c>
      <c r="J6">
        <v>100</v>
      </c>
      <c r="K6">
        <v>4</v>
      </c>
      <c r="L6">
        <v>250</v>
      </c>
      <c r="M6">
        <v>4</v>
      </c>
      <c r="N6" t="s">
        <v>46</v>
      </c>
      <c r="O6">
        <v>0.5</v>
      </c>
      <c r="Q6">
        <v>1.5</v>
      </c>
      <c r="U6" t="s">
        <v>37</v>
      </c>
      <c r="V6">
        <v>4</v>
      </c>
      <c r="W6">
        <v>80</v>
      </c>
      <c r="X6">
        <v>0.715</v>
      </c>
      <c r="Y6">
        <v>0.855</v>
      </c>
      <c r="AD6">
        <v>2</v>
      </c>
      <c r="AF6" t="s">
        <v>47</v>
      </c>
    </row>
    <row r="7" spans="1:32">
      <c r="A7" t="str">
        <f>Hyperlink("https://www.diodes.com/part/view/1N4148WSQ","1N4148WSQ")</f>
        <v>1N4148WSQ</v>
      </c>
      <c r="B7" t="str">
        <f>Hyperlink("https://www.diodes.com/assets/Datasheets/1N4148WS_BAV16WS.pdf","1N4148WSQ Datasheet")</f>
        <v>1N4148WSQ Datasheet</v>
      </c>
      <c r="C7" t="s">
        <v>48</v>
      </c>
      <c r="D7" t="s">
        <v>39</v>
      </c>
      <c r="E7" t="s">
        <v>40</v>
      </c>
      <c r="F7" t="s">
        <v>35</v>
      </c>
      <c r="G7" t="s">
        <v>36</v>
      </c>
      <c r="H7">
        <v>200</v>
      </c>
      <c r="I7" t="s">
        <v>33</v>
      </c>
      <c r="J7">
        <v>75</v>
      </c>
      <c r="K7">
        <v>4</v>
      </c>
      <c r="L7">
        <v>150</v>
      </c>
      <c r="M7">
        <v>2</v>
      </c>
      <c r="N7">
        <v>1</v>
      </c>
      <c r="O7">
        <v>1</v>
      </c>
      <c r="Q7">
        <v>2</v>
      </c>
      <c r="U7" t="s">
        <v>49</v>
      </c>
      <c r="V7">
        <v>4</v>
      </c>
      <c r="W7">
        <v>75</v>
      </c>
      <c r="X7">
        <v>0.715</v>
      </c>
      <c r="Y7">
        <v>0.855</v>
      </c>
      <c r="AD7">
        <v>2</v>
      </c>
      <c r="AF7" t="s">
        <v>42</v>
      </c>
    </row>
    <row r="8" spans="1:32">
      <c r="A8" t="str">
        <f>Hyperlink("https://www.diodes.com/part/view/1N4148WT","1N4148WT")</f>
        <v>1N4148WT</v>
      </c>
      <c r="B8" t="str">
        <f>Hyperlink("https://www.diodes.com/assets/Datasheets/1N4148WT.pdf","1N4148WT Datasheet")</f>
        <v>1N4148WT Datasheet</v>
      </c>
      <c r="C8" t="s">
        <v>32</v>
      </c>
      <c r="D8" t="s">
        <v>39</v>
      </c>
      <c r="E8" t="s">
        <v>34</v>
      </c>
      <c r="F8" t="s">
        <v>35</v>
      </c>
      <c r="G8" t="s">
        <v>36</v>
      </c>
      <c r="H8">
        <v>150</v>
      </c>
      <c r="I8" t="s">
        <v>33</v>
      </c>
      <c r="J8">
        <v>100</v>
      </c>
      <c r="K8">
        <v>4</v>
      </c>
      <c r="L8">
        <v>125</v>
      </c>
      <c r="M8">
        <v>2</v>
      </c>
      <c r="N8">
        <v>1</v>
      </c>
      <c r="O8">
        <v>1</v>
      </c>
      <c r="Q8">
        <v>2</v>
      </c>
      <c r="U8" t="s">
        <v>49</v>
      </c>
      <c r="V8">
        <v>4</v>
      </c>
      <c r="W8">
        <v>75</v>
      </c>
      <c r="X8">
        <v>0.715</v>
      </c>
      <c r="Y8">
        <v>0.855</v>
      </c>
      <c r="AD8">
        <v>2</v>
      </c>
      <c r="AF8" t="s">
        <v>50</v>
      </c>
    </row>
    <row r="9" spans="1:32">
      <c r="A9" t="str">
        <f>Hyperlink("https://www.diodes.com/part/view/1N4148WTF%28LS%29","1N4148WTF(LS)")</f>
        <v>1N4148WTF(LS)</v>
      </c>
      <c r="B9" t="str">
        <f>Hyperlink("https://www.diodes.com/assets/Datasheets/1N4148WTF_LS.pdf","1N4148WTF(LS) Datasheet")</f>
        <v>1N4148WTF(LS) Datasheet</v>
      </c>
      <c r="C9" t="s">
        <v>43</v>
      </c>
      <c r="D9" t="s">
        <v>33</v>
      </c>
      <c r="E9" t="s">
        <v>34</v>
      </c>
      <c r="F9" t="s">
        <v>35</v>
      </c>
      <c r="G9" t="s">
        <v>36</v>
      </c>
      <c r="H9">
        <v>200</v>
      </c>
      <c r="I9" t="s">
        <v>33</v>
      </c>
      <c r="J9">
        <v>75</v>
      </c>
      <c r="K9">
        <v>4</v>
      </c>
      <c r="L9">
        <v>150</v>
      </c>
      <c r="N9">
        <v>10</v>
      </c>
      <c r="O9">
        <v>100</v>
      </c>
      <c r="U9">
        <v>75</v>
      </c>
      <c r="V9">
        <v>4</v>
      </c>
      <c r="W9">
        <v>100</v>
      </c>
      <c r="Y9">
        <v>1</v>
      </c>
      <c r="AB9" t="s">
        <v>44</v>
      </c>
      <c r="AD9">
        <v>4</v>
      </c>
      <c r="AF9" t="s">
        <v>51</v>
      </c>
    </row>
    <row r="10" spans="1:32">
      <c r="A10" t="str">
        <f>Hyperlink("https://www.diodes.com/part/view/1N4448HLP","1N4448HLP")</f>
        <v>1N4448HLP</v>
      </c>
      <c r="B10" t="str">
        <f>Hyperlink("https://www.diodes.com/assets/Datasheets/ds30590.pdf","1N4448HLP Datasheet")</f>
        <v>1N4448HLP Datasheet</v>
      </c>
      <c r="C10" t="s">
        <v>32</v>
      </c>
      <c r="D10" t="s">
        <v>39</v>
      </c>
      <c r="E10" t="s">
        <v>34</v>
      </c>
      <c r="F10" t="s">
        <v>35</v>
      </c>
      <c r="G10" t="s">
        <v>36</v>
      </c>
      <c r="H10">
        <v>250</v>
      </c>
      <c r="I10" t="s">
        <v>33</v>
      </c>
      <c r="J10">
        <v>80</v>
      </c>
      <c r="K10">
        <v>4</v>
      </c>
      <c r="L10">
        <v>125</v>
      </c>
      <c r="M10">
        <v>2</v>
      </c>
      <c r="N10">
        <v>1</v>
      </c>
      <c r="O10">
        <v>0.1</v>
      </c>
      <c r="Q10">
        <v>3</v>
      </c>
      <c r="U10">
        <v>80</v>
      </c>
      <c r="V10">
        <v>4</v>
      </c>
      <c r="W10">
        <v>80</v>
      </c>
      <c r="X10">
        <v>0.715</v>
      </c>
      <c r="Y10">
        <v>0.855</v>
      </c>
      <c r="AD10">
        <v>3</v>
      </c>
      <c r="AF10" t="s">
        <v>52</v>
      </c>
    </row>
    <row r="11" spans="1:32">
      <c r="A11" t="str">
        <f>Hyperlink("https://www.diodes.com/part/view/1N4448HWS","1N4448HWS")</f>
        <v>1N4448HWS</v>
      </c>
      <c r="B11" t="str">
        <f>Hyperlink("https://www.diodes.com/assets/Datasheets/ds30196.pdf","1N4448HWS Datasheet")</f>
        <v>1N4448HWS Datasheet</v>
      </c>
      <c r="C11" t="s">
        <v>32</v>
      </c>
      <c r="D11" t="s">
        <v>39</v>
      </c>
      <c r="E11" t="s">
        <v>34</v>
      </c>
      <c r="F11" t="s">
        <v>35</v>
      </c>
      <c r="G11" t="s">
        <v>36</v>
      </c>
      <c r="H11">
        <v>200</v>
      </c>
      <c r="I11" t="s">
        <v>33</v>
      </c>
      <c r="J11">
        <v>80</v>
      </c>
      <c r="K11">
        <v>4</v>
      </c>
      <c r="L11">
        <v>250</v>
      </c>
      <c r="M11">
        <v>4</v>
      </c>
      <c r="N11">
        <v>1</v>
      </c>
      <c r="O11">
        <v>0.1</v>
      </c>
      <c r="Q11">
        <v>3.5</v>
      </c>
      <c r="U11">
        <v>80</v>
      </c>
      <c r="V11">
        <v>4</v>
      </c>
      <c r="W11">
        <v>80</v>
      </c>
      <c r="X11">
        <v>0.715</v>
      </c>
      <c r="Y11">
        <v>0.855</v>
      </c>
      <c r="AD11">
        <v>3.5</v>
      </c>
      <c r="AF11" t="s">
        <v>42</v>
      </c>
    </row>
    <row r="12" spans="1:32">
      <c r="A12" t="str">
        <f>Hyperlink("https://www.diodes.com/part/view/1N4448HWSQ","1N4448HWSQ")</f>
        <v>1N4448HWSQ</v>
      </c>
      <c r="B12" t="str">
        <f>Hyperlink("https://www.diodes.com/assets/Datasheets/ds30196.pdf","1N4448HWSQ Datasheet")</f>
        <v>1N4448HWSQ Datasheet</v>
      </c>
      <c r="C12" t="s">
        <v>32</v>
      </c>
      <c r="D12" t="s">
        <v>39</v>
      </c>
      <c r="E12" t="s">
        <v>40</v>
      </c>
      <c r="F12" t="s">
        <v>35</v>
      </c>
      <c r="G12" t="s">
        <v>36</v>
      </c>
      <c r="H12">
        <v>200</v>
      </c>
      <c r="I12" t="s">
        <v>33</v>
      </c>
      <c r="J12">
        <v>80</v>
      </c>
      <c r="K12">
        <v>4</v>
      </c>
      <c r="L12">
        <v>250</v>
      </c>
      <c r="M12">
        <v>4</v>
      </c>
      <c r="N12" t="s">
        <v>53</v>
      </c>
      <c r="O12">
        <v>0.1</v>
      </c>
      <c r="Q12">
        <v>3.5</v>
      </c>
      <c r="U12">
        <v>80</v>
      </c>
      <c r="V12">
        <v>4</v>
      </c>
      <c r="W12">
        <v>80</v>
      </c>
      <c r="Y12">
        <v>0.855</v>
      </c>
      <c r="AD12">
        <v>3.5</v>
      </c>
      <c r="AF12" t="s">
        <v>42</v>
      </c>
    </row>
    <row r="13" spans="1:32">
      <c r="A13" t="str">
        <f>Hyperlink("https://www.diodes.com/part/view/1N4448HWT","1N4448HWT")</f>
        <v>1N4448HWT</v>
      </c>
      <c r="B13" t="str">
        <f>Hyperlink("https://www.diodes.com/assets/Datasheets/1N4448HWT.pdf","1N4448HWT Datasheet")</f>
        <v>1N4448HWT Datasheet</v>
      </c>
      <c r="C13" t="s">
        <v>32</v>
      </c>
      <c r="D13" t="s">
        <v>39</v>
      </c>
      <c r="E13" t="s">
        <v>34</v>
      </c>
      <c r="F13" t="s">
        <v>35</v>
      </c>
      <c r="G13" t="s">
        <v>36</v>
      </c>
      <c r="H13">
        <v>150</v>
      </c>
      <c r="I13" t="s">
        <v>33</v>
      </c>
      <c r="J13">
        <v>80</v>
      </c>
      <c r="K13">
        <v>4</v>
      </c>
      <c r="L13">
        <v>125</v>
      </c>
      <c r="M13">
        <v>2</v>
      </c>
      <c r="N13">
        <v>1</v>
      </c>
      <c r="O13">
        <v>0.1</v>
      </c>
      <c r="Q13">
        <v>3</v>
      </c>
      <c r="U13">
        <v>80</v>
      </c>
      <c r="V13">
        <v>4</v>
      </c>
      <c r="W13">
        <v>80</v>
      </c>
      <c r="X13">
        <v>0.715</v>
      </c>
      <c r="Y13">
        <v>0.855</v>
      </c>
      <c r="AD13">
        <v>3</v>
      </c>
      <c r="AF13" t="s">
        <v>50</v>
      </c>
    </row>
    <row r="14" spans="1:32">
      <c r="A14" t="str">
        <f>Hyperlink("https://www.diodes.com/part/view/1N4448W","1N4448W")</f>
        <v>1N4448W</v>
      </c>
      <c r="B14" t="str">
        <f>Hyperlink("https://www.diodes.com/assets/Datasheets/1N4448W.pdf","1N4448W Datasheet")</f>
        <v>1N4448W Datasheet</v>
      </c>
      <c r="C14" t="s">
        <v>32</v>
      </c>
      <c r="D14" t="s">
        <v>39</v>
      </c>
      <c r="E14" t="s">
        <v>34</v>
      </c>
      <c r="F14" t="s">
        <v>35</v>
      </c>
      <c r="G14" t="s">
        <v>36</v>
      </c>
      <c r="H14">
        <v>400</v>
      </c>
      <c r="I14" t="s">
        <v>33</v>
      </c>
      <c r="J14">
        <v>75</v>
      </c>
      <c r="K14">
        <v>4</v>
      </c>
      <c r="L14">
        <v>250</v>
      </c>
      <c r="M14">
        <v>4</v>
      </c>
      <c r="N14">
        <v>1</v>
      </c>
      <c r="O14">
        <v>2.5</v>
      </c>
      <c r="Q14">
        <v>4</v>
      </c>
      <c r="S14">
        <v>1</v>
      </c>
      <c r="U14">
        <v>75</v>
      </c>
      <c r="V14">
        <v>4</v>
      </c>
      <c r="W14">
        <v>75</v>
      </c>
      <c r="AD14">
        <v>4</v>
      </c>
      <c r="AF14" t="s">
        <v>38</v>
      </c>
    </row>
    <row r="15" spans="1:32">
      <c r="A15" t="str">
        <f>Hyperlink("https://www.diodes.com/part/view/1N4448WS","1N4448WS")</f>
        <v>1N4448WS</v>
      </c>
      <c r="B15" t="str">
        <f>Hyperlink("https://www.diodes.com/assets/Datasheets/ds30096.pdf","1N4448WS Datasheet")</f>
        <v>1N4448WS Datasheet</v>
      </c>
      <c r="C15" t="s">
        <v>32</v>
      </c>
      <c r="D15" t="s">
        <v>39</v>
      </c>
      <c r="E15" t="s">
        <v>34</v>
      </c>
      <c r="F15" t="s">
        <v>35</v>
      </c>
      <c r="G15" t="s">
        <v>36</v>
      </c>
      <c r="H15">
        <v>200</v>
      </c>
      <c r="I15" t="s">
        <v>33</v>
      </c>
      <c r="J15">
        <v>75</v>
      </c>
      <c r="K15">
        <v>4</v>
      </c>
      <c r="L15">
        <v>250</v>
      </c>
      <c r="M15">
        <v>4</v>
      </c>
      <c r="N15">
        <v>1</v>
      </c>
      <c r="O15">
        <v>2.5</v>
      </c>
      <c r="Q15">
        <v>4</v>
      </c>
      <c r="S15">
        <v>1</v>
      </c>
      <c r="U15">
        <v>75</v>
      </c>
      <c r="V15">
        <v>4</v>
      </c>
      <c r="W15">
        <v>75</v>
      </c>
      <c r="AD15">
        <v>4</v>
      </c>
      <c r="AF15" t="s">
        <v>42</v>
      </c>
    </row>
    <row r="16" spans="1:32">
      <c r="A16" t="str">
        <f>Hyperlink("https://www.diodes.com/part/view/1N4448WSF","1N4448WSF")</f>
        <v>1N4448WSF</v>
      </c>
      <c r="B16" t="str">
        <f>Hyperlink("https://www.diodes.com/assets/Datasheets/1N4448WSF.pdf","1N4448WSF Datasheet")</f>
        <v>1N4448WSF Datasheet</v>
      </c>
      <c r="C16" t="s">
        <v>54</v>
      </c>
      <c r="D16" t="s">
        <v>39</v>
      </c>
      <c r="E16" t="s">
        <v>34</v>
      </c>
      <c r="F16" t="s">
        <v>35</v>
      </c>
      <c r="G16" t="s">
        <v>36</v>
      </c>
      <c r="H16">
        <v>400</v>
      </c>
      <c r="I16" t="s">
        <v>33</v>
      </c>
      <c r="J16">
        <v>75</v>
      </c>
      <c r="K16">
        <v>4</v>
      </c>
      <c r="L16">
        <v>250</v>
      </c>
      <c r="M16">
        <v>4</v>
      </c>
      <c r="N16" t="s">
        <v>55</v>
      </c>
      <c r="O16">
        <v>2.5</v>
      </c>
      <c r="Q16">
        <v>4</v>
      </c>
      <c r="S16">
        <v>1</v>
      </c>
      <c r="U16">
        <v>75</v>
      </c>
      <c r="V16">
        <v>4</v>
      </c>
      <c r="W16">
        <v>75</v>
      </c>
      <c r="AD16">
        <v>4</v>
      </c>
      <c r="AF16" t="s">
        <v>47</v>
      </c>
    </row>
    <row r="17" spans="1:32">
      <c r="A17" t="str">
        <f>Hyperlink("https://www.diodes.com/part/view/1N4448WTF%28LS%29","1N4448WTF(LS)")</f>
        <v>1N4448WTF(LS)</v>
      </c>
      <c r="B17" t="str">
        <f>Hyperlink("https://www.diodes.com/assets/Datasheets/1N4448WTF_LS.pdf","1N4448WTF(LS) Datasheet")</f>
        <v>1N4448WTF(LS) Datasheet</v>
      </c>
      <c r="C17" t="s">
        <v>43</v>
      </c>
      <c r="D17" t="s">
        <v>33</v>
      </c>
      <c r="E17" t="s">
        <v>34</v>
      </c>
      <c r="F17" t="s">
        <v>35</v>
      </c>
      <c r="G17" t="s">
        <v>36</v>
      </c>
      <c r="H17">
        <v>200</v>
      </c>
      <c r="I17" t="s">
        <v>33</v>
      </c>
      <c r="J17">
        <v>75</v>
      </c>
      <c r="K17">
        <v>4</v>
      </c>
      <c r="L17">
        <v>150</v>
      </c>
      <c r="N17">
        <v>100</v>
      </c>
      <c r="O17">
        <v>100</v>
      </c>
      <c r="U17">
        <v>150</v>
      </c>
      <c r="V17">
        <v>4</v>
      </c>
      <c r="W17">
        <v>100</v>
      </c>
      <c r="Y17">
        <v>1</v>
      </c>
      <c r="AB17" t="s">
        <v>44</v>
      </c>
      <c r="AD17">
        <v>4</v>
      </c>
      <c r="AF17" t="s">
        <v>51</v>
      </c>
    </row>
    <row r="18" spans="1:32">
      <c r="A18" t="str">
        <f>Hyperlink("https://www.diodes.com/part/view/1SS355%28LS%29","1SS355(LS)")</f>
        <v>1SS355(LS)</v>
      </c>
      <c r="B18" t="str">
        <f>Hyperlink("https://www.diodes.com/assets/Datasheets/1SS355_LS.pdf","1SS355(LS) Datasheet")</f>
        <v>1SS355(LS) Datasheet</v>
      </c>
      <c r="C18" t="s">
        <v>43</v>
      </c>
      <c r="D18" t="s">
        <v>33</v>
      </c>
      <c r="E18" t="s">
        <v>34</v>
      </c>
      <c r="F18" t="s">
        <v>35</v>
      </c>
      <c r="G18" t="s">
        <v>36</v>
      </c>
      <c r="I18" t="s">
        <v>33</v>
      </c>
      <c r="J18">
        <v>90</v>
      </c>
      <c r="K18">
        <v>4</v>
      </c>
      <c r="L18">
        <v>100</v>
      </c>
      <c r="M18">
        <v>0.5</v>
      </c>
      <c r="N18">
        <v>100</v>
      </c>
      <c r="O18">
        <v>0.1</v>
      </c>
      <c r="S18">
        <v>1.2</v>
      </c>
      <c r="U18">
        <v>90</v>
      </c>
      <c r="V18">
        <v>4</v>
      </c>
      <c r="W18">
        <v>80</v>
      </c>
      <c r="AB18" t="s">
        <v>56</v>
      </c>
      <c r="AD18">
        <v>3</v>
      </c>
      <c r="AF18" t="s">
        <v>45</v>
      </c>
    </row>
    <row r="19" spans="1:32">
      <c r="A19" t="str">
        <f>Hyperlink("https://www.diodes.com/part/view/1SS361LP3","1SS361LP3")</f>
        <v>1SS361LP3</v>
      </c>
      <c r="B19" t="str">
        <f>Hyperlink("https://www.diodes.com/assets/Datasheets/1SS361LP3.pdf","1SS361LP3 Datasheet")</f>
        <v>1SS361LP3 Datasheet</v>
      </c>
      <c r="C19" t="s">
        <v>54</v>
      </c>
      <c r="D19" t="s">
        <v>33</v>
      </c>
      <c r="E19" t="s">
        <v>34</v>
      </c>
      <c r="F19" t="s">
        <v>35</v>
      </c>
      <c r="G19" t="s">
        <v>36</v>
      </c>
      <c r="H19">
        <v>250</v>
      </c>
      <c r="I19" t="s">
        <v>33</v>
      </c>
      <c r="J19">
        <v>85</v>
      </c>
      <c r="K19">
        <v>4</v>
      </c>
      <c r="L19">
        <v>100</v>
      </c>
      <c r="M19">
        <v>2</v>
      </c>
      <c r="N19" t="s">
        <v>57</v>
      </c>
      <c r="O19">
        <v>1</v>
      </c>
      <c r="Q19">
        <v>3</v>
      </c>
      <c r="S19">
        <v>1</v>
      </c>
      <c r="U19">
        <v>80</v>
      </c>
      <c r="V19">
        <v>4</v>
      </c>
      <c r="W19">
        <v>80</v>
      </c>
      <c r="AB19">
        <v>1</v>
      </c>
      <c r="AD19">
        <v>3</v>
      </c>
      <c r="AF19" t="s">
        <v>58</v>
      </c>
    </row>
    <row r="20" spans="1:32">
      <c r="A20" t="str">
        <f>Hyperlink("https://www.diodes.com/part/view/1SS361LPH4","1SS361LPH4")</f>
        <v>1SS361LPH4</v>
      </c>
      <c r="B20" t="str">
        <f>Hyperlink("https://www.diodes.com/assets/Datasheets/1SS361LPH4.pdf","1SS361LPH4 Datasheet")</f>
        <v>1SS361LPH4 Datasheet</v>
      </c>
      <c r="C20" t="s">
        <v>54</v>
      </c>
      <c r="D20" t="s">
        <v>33</v>
      </c>
      <c r="E20" t="s">
        <v>34</v>
      </c>
      <c r="F20" t="s">
        <v>35</v>
      </c>
      <c r="G20" t="s">
        <v>36</v>
      </c>
      <c r="H20">
        <v>350</v>
      </c>
      <c r="I20" t="s">
        <v>33</v>
      </c>
      <c r="J20">
        <v>80</v>
      </c>
      <c r="K20">
        <v>4</v>
      </c>
      <c r="L20">
        <v>100</v>
      </c>
      <c r="M20">
        <v>2</v>
      </c>
      <c r="N20" t="s">
        <v>59</v>
      </c>
      <c r="O20">
        <v>0.5</v>
      </c>
      <c r="Q20">
        <v>3</v>
      </c>
      <c r="S20">
        <v>1</v>
      </c>
      <c r="U20">
        <v>80</v>
      </c>
      <c r="V20">
        <v>4</v>
      </c>
      <c r="W20">
        <v>80</v>
      </c>
      <c r="AB20">
        <v>0.5</v>
      </c>
      <c r="AD20">
        <v>3</v>
      </c>
      <c r="AF20" t="s">
        <v>60</v>
      </c>
    </row>
    <row r="21" spans="1:32">
      <c r="A21" t="str">
        <f>Hyperlink("https://www.diodes.com/part/view/1SS361UDJ","1SS361UDJ")</f>
        <v>1SS361UDJ</v>
      </c>
      <c r="B21" t="str">
        <f>Hyperlink("https://www.diodes.com/assets/Datasheets/1SS361UDJ.pdf","1SS361UDJ Datasheet")</f>
        <v>1SS361UDJ Datasheet</v>
      </c>
      <c r="C21" t="s">
        <v>54</v>
      </c>
      <c r="D21" t="s">
        <v>33</v>
      </c>
      <c r="E21" t="s">
        <v>34</v>
      </c>
      <c r="F21" t="s">
        <v>61</v>
      </c>
      <c r="G21" t="s">
        <v>36</v>
      </c>
      <c r="H21">
        <v>250</v>
      </c>
      <c r="I21" t="s">
        <v>33</v>
      </c>
      <c r="J21">
        <v>85</v>
      </c>
      <c r="K21">
        <v>4</v>
      </c>
      <c r="L21">
        <v>250</v>
      </c>
      <c r="M21">
        <v>2</v>
      </c>
      <c r="N21" t="s">
        <v>57</v>
      </c>
      <c r="O21">
        <v>1</v>
      </c>
      <c r="Q21">
        <v>3</v>
      </c>
      <c r="S21">
        <v>1</v>
      </c>
      <c r="U21">
        <v>80</v>
      </c>
      <c r="V21">
        <v>4</v>
      </c>
      <c r="W21">
        <v>80</v>
      </c>
      <c r="AB21">
        <v>1</v>
      </c>
      <c r="AD21">
        <v>3</v>
      </c>
      <c r="AF21" t="s">
        <v>62</v>
      </c>
    </row>
    <row r="22" spans="1:32">
      <c r="A22" t="str">
        <f>Hyperlink("https://www.diodes.com/part/view/1SS400%28LS%29","1SS400(LS)")</f>
        <v>1SS400(LS)</v>
      </c>
      <c r="B22" t="str">
        <f>Hyperlink("https://www.diodes.com/assets/Datasheets/1SS400_LS.pdf","1SS400(LS) Datasheet")</f>
        <v>1SS400(LS) Datasheet</v>
      </c>
      <c r="C22" t="s">
        <v>43</v>
      </c>
      <c r="D22" t="s">
        <v>33</v>
      </c>
      <c r="E22" t="s">
        <v>34</v>
      </c>
      <c r="F22" t="s">
        <v>35</v>
      </c>
      <c r="G22" t="s">
        <v>36</v>
      </c>
      <c r="I22" t="s">
        <v>33</v>
      </c>
      <c r="J22">
        <v>90</v>
      </c>
      <c r="K22">
        <v>4</v>
      </c>
      <c r="L22">
        <v>100</v>
      </c>
      <c r="M22">
        <v>0.5</v>
      </c>
      <c r="N22">
        <v>100</v>
      </c>
      <c r="O22">
        <v>0.1</v>
      </c>
      <c r="S22">
        <v>1.2</v>
      </c>
      <c r="U22">
        <v>90</v>
      </c>
      <c r="V22">
        <v>4</v>
      </c>
      <c r="W22">
        <v>80</v>
      </c>
      <c r="AB22" t="s">
        <v>56</v>
      </c>
      <c r="AD22">
        <v>3</v>
      </c>
      <c r="AF22" t="s">
        <v>63</v>
      </c>
    </row>
    <row r="23" spans="1:32">
      <c r="A23" t="str">
        <f>Hyperlink("https://www.diodes.com/part/view/1SS400F%28LS%29","1SS400F(LS)")</f>
        <v>1SS400F(LS)</v>
      </c>
      <c r="B23" t="str">
        <f>Hyperlink("https://www.diodes.com/assets/Datasheets/1SS400F_LS.pdf","1SS400F(LS) Datasheet")</f>
        <v>1SS400F(LS) Datasheet</v>
      </c>
      <c r="C23" t="s">
        <v>43</v>
      </c>
      <c r="D23" t="s">
        <v>33</v>
      </c>
      <c r="E23" t="s">
        <v>34</v>
      </c>
      <c r="F23" t="s">
        <v>35</v>
      </c>
      <c r="G23" t="s">
        <v>36</v>
      </c>
      <c r="I23" t="s">
        <v>33</v>
      </c>
      <c r="J23">
        <v>100</v>
      </c>
      <c r="K23">
        <v>4</v>
      </c>
      <c r="L23">
        <v>100</v>
      </c>
      <c r="N23">
        <v>100</v>
      </c>
      <c r="O23">
        <v>0.1</v>
      </c>
      <c r="S23">
        <v>1.2</v>
      </c>
      <c r="U23">
        <v>100</v>
      </c>
      <c r="V23">
        <v>4</v>
      </c>
      <c r="W23">
        <v>80</v>
      </c>
      <c r="AB23" t="s">
        <v>56</v>
      </c>
      <c r="AD23">
        <v>4</v>
      </c>
      <c r="AF23" t="s">
        <v>51</v>
      </c>
    </row>
    <row r="24" spans="1:32">
      <c r="A24" t="str">
        <f>Hyperlink("https://www.diodes.com/part/view/BAL99","BAL99")</f>
        <v>BAL99</v>
      </c>
      <c r="B24" t="str">
        <f>Hyperlink("https://www.diodes.com/assets/Datasheets/ds12009.pdf","BAL99 Datasheet")</f>
        <v>BAL99 Datasheet</v>
      </c>
      <c r="C24" t="s">
        <v>32</v>
      </c>
      <c r="D24" t="s">
        <v>39</v>
      </c>
      <c r="E24" t="s">
        <v>34</v>
      </c>
      <c r="F24" t="s">
        <v>64</v>
      </c>
      <c r="G24" t="s">
        <v>36</v>
      </c>
      <c r="H24">
        <v>350</v>
      </c>
      <c r="I24" t="s">
        <v>33</v>
      </c>
      <c r="J24">
        <v>75</v>
      </c>
      <c r="K24">
        <v>4</v>
      </c>
      <c r="L24">
        <v>300</v>
      </c>
      <c r="M24">
        <v>2</v>
      </c>
      <c r="N24">
        <v>1</v>
      </c>
      <c r="O24">
        <v>2.5</v>
      </c>
      <c r="Q24">
        <v>2</v>
      </c>
      <c r="S24">
        <v>1</v>
      </c>
      <c r="U24">
        <v>75</v>
      </c>
      <c r="V24">
        <v>4</v>
      </c>
      <c r="W24">
        <v>75</v>
      </c>
      <c r="AD24">
        <v>2</v>
      </c>
      <c r="AF24" t="s">
        <v>65</v>
      </c>
    </row>
    <row r="25" spans="1:32">
      <c r="A25" t="str">
        <f>Hyperlink("https://www.diodes.com/part/view/BAS116","BAS116")</f>
        <v>BAS116</v>
      </c>
      <c r="B25" t="str">
        <f>Hyperlink("https://www.diodes.com/assets/Datasheets/ds30233.pdf","BAS116 Datasheet")</f>
        <v>BAS116 Datasheet</v>
      </c>
      <c r="C25" t="s">
        <v>32</v>
      </c>
      <c r="D25" t="s">
        <v>39</v>
      </c>
      <c r="E25" t="s">
        <v>34</v>
      </c>
      <c r="F25" t="s">
        <v>35</v>
      </c>
      <c r="G25" t="s">
        <v>36</v>
      </c>
      <c r="H25">
        <v>250</v>
      </c>
      <c r="I25" t="s">
        <v>33</v>
      </c>
      <c r="J25">
        <v>85</v>
      </c>
      <c r="K25">
        <v>3000</v>
      </c>
      <c r="L25">
        <v>215</v>
      </c>
      <c r="M25">
        <v>4</v>
      </c>
      <c r="N25" t="s">
        <v>66</v>
      </c>
      <c r="O25">
        <v>0.005</v>
      </c>
      <c r="Q25">
        <v>2</v>
      </c>
      <c r="S25">
        <v>1.05</v>
      </c>
      <c r="U25">
        <v>85</v>
      </c>
      <c r="V25">
        <v>3</v>
      </c>
      <c r="W25">
        <v>75</v>
      </c>
      <c r="AF25" t="s">
        <v>65</v>
      </c>
    </row>
    <row r="26" spans="1:32">
      <c r="A26" t="str">
        <f>Hyperlink("https://www.diodes.com/part/view/BAS116LPH4","BAS116LPH4")</f>
        <v>BAS116LPH4</v>
      </c>
      <c r="B26" t="str">
        <f>Hyperlink("https://www.diodes.com/assets/Datasheets/BAS116LPH4.pdf","BAS116LPH4 Datasheet")</f>
        <v>BAS116LPH4 Datasheet</v>
      </c>
      <c r="C26" t="s">
        <v>54</v>
      </c>
      <c r="D26" t="s">
        <v>39</v>
      </c>
      <c r="E26" t="s">
        <v>34</v>
      </c>
      <c r="F26" t="s">
        <v>35</v>
      </c>
      <c r="G26" t="s">
        <v>36</v>
      </c>
      <c r="H26">
        <v>200</v>
      </c>
      <c r="I26" t="s">
        <v>33</v>
      </c>
      <c r="J26">
        <v>85</v>
      </c>
      <c r="K26">
        <v>3000</v>
      </c>
      <c r="L26">
        <v>215</v>
      </c>
      <c r="M26">
        <v>4</v>
      </c>
      <c r="N26" t="s">
        <v>67</v>
      </c>
      <c r="O26">
        <v>0.005</v>
      </c>
      <c r="Q26">
        <v>4</v>
      </c>
      <c r="S26">
        <v>1</v>
      </c>
      <c r="U26">
        <v>85</v>
      </c>
      <c r="V26">
        <v>3</v>
      </c>
      <c r="W26">
        <v>75</v>
      </c>
      <c r="AF26" t="s">
        <v>60</v>
      </c>
    </row>
    <row r="27" spans="1:32">
      <c r="A27" t="str">
        <f>Hyperlink("https://www.diodes.com/part/view/BAS116T","BAS116T")</f>
        <v>BAS116T</v>
      </c>
      <c r="B27" t="str">
        <f>Hyperlink("https://www.diodes.com/assets/Datasheets/ds30258.pdf","BAS116T Datasheet")</f>
        <v>BAS116T Datasheet</v>
      </c>
      <c r="C27" t="s">
        <v>32</v>
      </c>
      <c r="D27" t="s">
        <v>39</v>
      </c>
      <c r="E27" t="s">
        <v>34</v>
      </c>
      <c r="F27" t="s">
        <v>35</v>
      </c>
      <c r="G27" t="s">
        <v>36</v>
      </c>
      <c r="H27">
        <v>150</v>
      </c>
      <c r="I27" t="s">
        <v>33</v>
      </c>
      <c r="J27">
        <v>85</v>
      </c>
      <c r="K27">
        <v>3000</v>
      </c>
      <c r="L27">
        <v>215</v>
      </c>
      <c r="M27">
        <v>4</v>
      </c>
      <c r="N27" t="s">
        <v>66</v>
      </c>
      <c r="O27">
        <v>0.005</v>
      </c>
      <c r="Q27">
        <v>2</v>
      </c>
      <c r="S27">
        <v>1</v>
      </c>
      <c r="U27">
        <v>85</v>
      </c>
      <c r="V27">
        <v>3</v>
      </c>
      <c r="W27">
        <v>75</v>
      </c>
      <c r="AF27" t="s">
        <v>68</v>
      </c>
    </row>
    <row r="28" spans="1:32">
      <c r="A28" t="str">
        <f>Hyperlink("https://www.diodes.com/part/view/BAS116V","BAS116V")</f>
        <v>BAS116V</v>
      </c>
      <c r="B28" t="str">
        <f>Hyperlink("https://www.diodes.com/assets/Datasheets/ds30562.pdf","BAS116V Datasheet")</f>
        <v>BAS116V Datasheet</v>
      </c>
      <c r="C28" t="s">
        <v>32</v>
      </c>
      <c r="D28" t="s">
        <v>39</v>
      </c>
      <c r="E28" t="s">
        <v>34</v>
      </c>
      <c r="F28" t="s">
        <v>61</v>
      </c>
      <c r="G28" t="s">
        <v>36</v>
      </c>
      <c r="H28">
        <v>150</v>
      </c>
      <c r="I28" t="s">
        <v>33</v>
      </c>
      <c r="J28">
        <v>85</v>
      </c>
      <c r="K28">
        <v>3000</v>
      </c>
      <c r="L28">
        <v>215</v>
      </c>
      <c r="M28">
        <v>4</v>
      </c>
      <c r="N28" t="s">
        <v>66</v>
      </c>
      <c r="O28">
        <v>0.005</v>
      </c>
      <c r="Q28">
        <v>2</v>
      </c>
      <c r="S28">
        <v>1</v>
      </c>
      <c r="U28">
        <v>85</v>
      </c>
      <c r="V28">
        <v>3</v>
      </c>
      <c r="W28">
        <v>75</v>
      </c>
      <c r="AF28" t="s">
        <v>69</v>
      </c>
    </row>
    <row r="29" spans="1:32">
      <c r="A29" t="str">
        <f>Hyperlink("https://www.diodes.com/part/view/BAS16","BAS16")</f>
        <v>BAS16</v>
      </c>
      <c r="B29" t="str">
        <f>Hyperlink("https://www.diodes.com/assets/Datasheets/BAS16_MMBD4148_MMBD914.pdf","BAS16 Datasheet")</f>
        <v>BAS16 Datasheet</v>
      </c>
      <c r="C29" t="s">
        <v>32</v>
      </c>
      <c r="D29" t="s">
        <v>39</v>
      </c>
      <c r="E29" t="s">
        <v>34</v>
      </c>
      <c r="F29" t="s">
        <v>35</v>
      </c>
      <c r="G29" t="s">
        <v>36</v>
      </c>
      <c r="H29">
        <v>350</v>
      </c>
      <c r="I29" t="s">
        <v>33</v>
      </c>
      <c r="J29">
        <v>75</v>
      </c>
      <c r="K29">
        <v>4</v>
      </c>
      <c r="L29">
        <v>200</v>
      </c>
      <c r="M29">
        <v>2</v>
      </c>
      <c r="N29">
        <v>1</v>
      </c>
      <c r="O29">
        <v>1</v>
      </c>
      <c r="Q29">
        <v>2</v>
      </c>
      <c r="S29">
        <v>1</v>
      </c>
      <c r="U29">
        <v>75</v>
      </c>
      <c r="V29">
        <v>4</v>
      </c>
      <c r="W29">
        <v>75</v>
      </c>
      <c r="AD29">
        <v>2</v>
      </c>
      <c r="AF29" t="s">
        <v>65</v>
      </c>
    </row>
    <row r="30" spans="1:32">
      <c r="A30" t="str">
        <f>Hyperlink("https://www.diodes.com/part/view/BAS16F%28LS%29","BAS16F(LS)")</f>
        <v>BAS16F(LS)</v>
      </c>
      <c r="B30" t="str">
        <f>Hyperlink("https://www.diodes.com/assets/Datasheets/BAS16F_LS.pdf","BAS16F(LS) Datasheet")</f>
        <v>BAS16F(LS) Datasheet</v>
      </c>
      <c r="C30" t="s">
        <v>43</v>
      </c>
      <c r="D30" t="s">
        <v>33</v>
      </c>
      <c r="E30" t="s">
        <v>34</v>
      </c>
      <c r="F30" t="s">
        <v>35</v>
      </c>
      <c r="G30" t="s">
        <v>36</v>
      </c>
      <c r="H30">
        <v>200</v>
      </c>
      <c r="I30" t="s">
        <v>33</v>
      </c>
      <c r="J30">
        <v>75</v>
      </c>
      <c r="K30">
        <v>4</v>
      </c>
      <c r="L30">
        <v>200</v>
      </c>
      <c r="N30">
        <v>100</v>
      </c>
      <c r="O30">
        <v>100</v>
      </c>
      <c r="S30">
        <v>1.3</v>
      </c>
      <c r="U30">
        <v>75</v>
      </c>
      <c r="V30">
        <v>4</v>
      </c>
      <c r="W30">
        <v>75</v>
      </c>
      <c r="AB30" t="s">
        <v>70</v>
      </c>
      <c r="AD30">
        <v>4</v>
      </c>
      <c r="AF30" t="s">
        <v>51</v>
      </c>
    </row>
    <row r="31" spans="1:32">
      <c r="A31" t="str">
        <f>Hyperlink("https://www.diodes.com/part/view/BAS16HLP","BAS16HLP")</f>
        <v>BAS16HLP</v>
      </c>
      <c r="B31" t="str">
        <f>Hyperlink("https://www.diodes.com/assets/Datasheets/ds31740.pdf","BAS16HLP Datasheet")</f>
        <v>BAS16HLP Datasheet</v>
      </c>
      <c r="C31" t="s">
        <v>54</v>
      </c>
      <c r="D31" t="s">
        <v>39</v>
      </c>
      <c r="E31" t="s">
        <v>34</v>
      </c>
      <c r="F31" t="s">
        <v>35</v>
      </c>
      <c r="G31" t="s">
        <v>36</v>
      </c>
      <c r="H31">
        <v>250</v>
      </c>
      <c r="I31" t="s">
        <v>33</v>
      </c>
      <c r="J31">
        <v>100</v>
      </c>
      <c r="K31">
        <v>4</v>
      </c>
      <c r="L31">
        <v>215</v>
      </c>
      <c r="M31">
        <v>2</v>
      </c>
      <c r="N31">
        <v>0.89</v>
      </c>
      <c r="O31">
        <v>0.5</v>
      </c>
      <c r="Q31">
        <v>1.5</v>
      </c>
      <c r="U31">
        <v>100</v>
      </c>
      <c r="V31">
        <v>4</v>
      </c>
      <c r="W31">
        <v>100</v>
      </c>
      <c r="X31">
        <v>0.715</v>
      </c>
      <c r="Y31">
        <v>0.855</v>
      </c>
      <c r="AB31">
        <v>500</v>
      </c>
      <c r="AD31">
        <v>1.5</v>
      </c>
      <c r="AF31" t="s">
        <v>52</v>
      </c>
    </row>
    <row r="32" spans="1:32">
      <c r="A32" t="str">
        <f>Hyperlink("https://www.diodes.com/part/view/BAS16HLPQ","BAS16HLPQ")</f>
        <v>BAS16HLPQ</v>
      </c>
      <c r="B32" t="str">
        <f>Hyperlink("https://www.diodes.com/assets/Datasheets/BAS16HLPQ.pdf","BAS16HLPQ Datasheet")</f>
        <v>BAS16HLPQ Datasheet</v>
      </c>
      <c r="C32" t="s">
        <v>71</v>
      </c>
      <c r="D32" t="s">
        <v>39</v>
      </c>
      <c r="E32" t="s">
        <v>40</v>
      </c>
      <c r="F32" t="s">
        <v>35</v>
      </c>
      <c r="G32" t="s">
        <v>36</v>
      </c>
      <c r="H32">
        <v>250</v>
      </c>
      <c r="I32" t="s">
        <v>33</v>
      </c>
      <c r="J32">
        <v>100</v>
      </c>
      <c r="K32">
        <v>4</v>
      </c>
      <c r="M32">
        <v>4</v>
      </c>
      <c r="N32" t="s">
        <v>72</v>
      </c>
      <c r="O32">
        <v>0.5</v>
      </c>
      <c r="Q32">
        <v>1.5</v>
      </c>
      <c r="U32">
        <v>100</v>
      </c>
      <c r="V32">
        <v>4</v>
      </c>
      <c r="W32" t="s">
        <v>73</v>
      </c>
      <c r="X32">
        <v>0.715</v>
      </c>
      <c r="AB32" t="s">
        <v>74</v>
      </c>
      <c r="AD32">
        <v>1.5</v>
      </c>
      <c r="AF32" t="s">
        <v>52</v>
      </c>
    </row>
    <row r="33" spans="1:32">
      <c r="A33" t="str">
        <f>Hyperlink("https://www.diodes.com/part/view/BAS16HTW","BAS16HTW")</f>
        <v>BAS16HTW</v>
      </c>
      <c r="B33" t="str">
        <f>Hyperlink("https://www.diodes.com/assets/Datasheets/BAS16HTW.pdf","BAS16HTW Datasheet")</f>
        <v>BAS16HTW Datasheet</v>
      </c>
      <c r="C33" t="s">
        <v>75</v>
      </c>
      <c r="D33" t="s">
        <v>39</v>
      </c>
      <c r="E33" t="s">
        <v>34</v>
      </c>
      <c r="F33" t="s">
        <v>76</v>
      </c>
      <c r="G33" t="s">
        <v>36</v>
      </c>
      <c r="H33">
        <v>250</v>
      </c>
      <c r="I33" t="s">
        <v>33</v>
      </c>
      <c r="J33">
        <v>100</v>
      </c>
      <c r="K33">
        <v>4</v>
      </c>
      <c r="L33">
        <v>200</v>
      </c>
      <c r="M33">
        <v>4</v>
      </c>
      <c r="N33" t="s">
        <v>77</v>
      </c>
      <c r="O33">
        <v>0.5</v>
      </c>
      <c r="Q33">
        <v>1.5</v>
      </c>
      <c r="S33">
        <v>1</v>
      </c>
      <c r="U33" t="s">
        <v>78</v>
      </c>
      <c r="V33">
        <v>4</v>
      </c>
      <c r="W33">
        <v>80</v>
      </c>
      <c r="Z33">
        <v>50</v>
      </c>
      <c r="AB33">
        <v>0.5</v>
      </c>
      <c r="AD33">
        <v>1.5</v>
      </c>
      <c r="AF33" t="s">
        <v>79</v>
      </c>
    </row>
    <row r="34" spans="1:32">
      <c r="A34" t="str">
        <f>Hyperlink("https://www.diodes.com/part/view/BAS16HTWQ","BAS16HTWQ")</f>
        <v>BAS16HTWQ</v>
      </c>
      <c r="B34" t="str">
        <f>Hyperlink("https://www.diodes.com/assets/Datasheets/BAS16HTWQ.pdf","BAS16HTWQ Datasheet")</f>
        <v>BAS16HTWQ Datasheet</v>
      </c>
      <c r="C34" t="s">
        <v>75</v>
      </c>
      <c r="D34" t="s">
        <v>39</v>
      </c>
      <c r="E34" t="s">
        <v>40</v>
      </c>
      <c r="F34" t="s">
        <v>76</v>
      </c>
      <c r="G34" t="s">
        <v>36</v>
      </c>
      <c r="H34">
        <v>250</v>
      </c>
      <c r="I34" t="s">
        <v>33</v>
      </c>
      <c r="J34">
        <v>100</v>
      </c>
      <c r="K34">
        <v>4</v>
      </c>
      <c r="L34">
        <v>200</v>
      </c>
      <c r="M34">
        <v>4</v>
      </c>
      <c r="N34" t="s">
        <v>77</v>
      </c>
      <c r="O34">
        <v>0.5</v>
      </c>
      <c r="Q34">
        <v>1.5</v>
      </c>
      <c r="S34">
        <v>1</v>
      </c>
      <c r="U34" t="s">
        <v>80</v>
      </c>
      <c r="V34">
        <v>4</v>
      </c>
      <c r="W34">
        <v>80</v>
      </c>
      <c r="Z34">
        <v>50</v>
      </c>
      <c r="AB34">
        <v>0.5</v>
      </c>
      <c r="AD34">
        <v>1.5</v>
      </c>
      <c r="AF34" t="s">
        <v>79</v>
      </c>
    </row>
    <row r="35" spans="1:32">
      <c r="A35" t="str">
        <f>Hyperlink("https://www.diodes.com/part/view/BAS16LP","BAS16LP")</f>
        <v>BAS16LP</v>
      </c>
      <c r="B35" t="str">
        <f>Hyperlink("https://www.diodes.com/assets/Datasheets/BAS16LP.pdf","BAS16LP Datasheet")</f>
        <v>BAS16LP Datasheet</v>
      </c>
      <c r="C35" t="s">
        <v>32</v>
      </c>
      <c r="D35" t="s">
        <v>39</v>
      </c>
      <c r="E35" t="s">
        <v>34</v>
      </c>
      <c r="F35" t="s">
        <v>35</v>
      </c>
      <c r="G35" t="s">
        <v>36</v>
      </c>
      <c r="H35">
        <v>250</v>
      </c>
      <c r="I35" t="s">
        <v>33</v>
      </c>
      <c r="J35">
        <v>75</v>
      </c>
      <c r="K35">
        <v>4</v>
      </c>
      <c r="L35">
        <v>200</v>
      </c>
      <c r="M35">
        <v>2</v>
      </c>
      <c r="N35">
        <v>1</v>
      </c>
      <c r="O35">
        <v>1</v>
      </c>
      <c r="Q35">
        <v>2</v>
      </c>
      <c r="U35">
        <v>75</v>
      </c>
      <c r="V35">
        <v>4</v>
      </c>
      <c r="W35">
        <v>75</v>
      </c>
      <c r="X35">
        <v>0.9</v>
      </c>
      <c r="Y35">
        <v>1</v>
      </c>
      <c r="AD35">
        <v>2</v>
      </c>
      <c r="AF35" t="s">
        <v>52</v>
      </c>
    </row>
    <row r="36" spans="1:32">
      <c r="A36" t="str">
        <f>Hyperlink("https://www.diodes.com/part/view/BAS16LPQ","BAS16LPQ")</f>
        <v>BAS16LPQ</v>
      </c>
      <c r="B36" t="str">
        <f>Hyperlink("https://www.diodes.com/assets/Datasheets/BAS16LPQ.pdf","BAS16LPQ Datasheet")</f>
        <v>BAS16LPQ Datasheet</v>
      </c>
      <c r="C36" t="s">
        <v>81</v>
      </c>
      <c r="D36" t="s">
        <v>39</v>
      </c>
      <c r="E36" t="s">
        <v>40</v>
      </c>
      <c r="F36" t="s">
        <v>35</v>
      </c>
      <c r="G36" t="s">
        <v>36</v>
      </c>
      <c r="H36">
        <v>250</v>
      </c>
      <c r="I36" t="s">
        <v>39</v>
      </c>
      <c r="J36">
        <v>75</v>
      </c>
      <c r="K36">
        <v>4</v>
      </c>
      <c r="L36" t="s">
        <v>82</v>
      </c>
      <c r="M36" t="s">
        <v>83</v>
      </c>
      <c r="N36" t="s">
        <v>84</v>
      </c>
      <c r="O36">
        <v>1</v>
      </c>
      <c r="Q36">
        <v>2</v>
      </c>
      <c r="U36">
        <v>75</v>
      </c>
      <c r="W36">
        <v>75</v>
      </c>
      <c r="X36">
        <v>0.715</v>
      </c>
      <c r="Y36">
        <v>0.855</v>
      </c>
      <c r="AD36">
        <v>2</v>
      </c>
      <c r="AF36" t="s">
        <v>52</v>
      </c>
    </row>
    <row r="37" spans="1:32">
      <c r="A37" t="str">
        <f>Hyperlink("https://www.diodes.com/part/view/BAS16T","BAS16T")</f>
        <v>BAS16T</v>
      </c>
      <c r="B37" t="str">
        <f>Hyperlink("https://www.diodes.com/assets/Datasheets/BAS16T_BAW56T_BAV70T_BAV99T.pdf","BAS16T Datasheet")</f>
        <v>BAS16T Datasheet</v>
      </c>
      <c r="C37" t="s">
        <v>32</v>
      </c>
      <c r="D37" t="s">
        <v>39</v>
      </c>
      <c r="E37" t="s">
        <v>34</v>
      </c>
      <c r="F37" t="s">
        <v>35</v>
      </c>
      <c r="G37" t="s">
        <v>36</v>
      </c>
      <c r="H37">
        <v>150</v>
      </c>
      <c r="I37" t="s">
        <v>33</v>
      </c>
      <c r="J37">
        <v>85</v>
      </c>
      <c r="K37">
        <v>4</v>
      </c>
      <c r="L37">
        <v>155</v>
      </c>
      <c r="M37">
        <v>4</v>
      </c>
      <c r="N37">
        <v>1</v>
      </c>
      <c r="O37">
        <v>2</v>
      </c>
      <c r="Q37">
        <v>1.5</v>
      </c>
      <c r="U37">
        <v>85</v>
      </c>
      <c r="V37">
        <v>4</v>
      </c>
      <c r="W37">
        <v>85</v>
      </c>
      <c r="X37">
        <v>0.9</v>
      </c>
      <c r="Y37">
        <v>1</v>
      </c>
      <c r="AD37">
        <v>2</v>
      </c>
      <c r="AF37" t="s">
        <v>68</v>
      </c>
    </row>
    <row r="38" spans="1:32">
      <c r="A38" t="str">
        <f>Hyperlink("https://www.diodes.com/part/view/BAS16TW","BAS16TW")</f>
        <v>BAS16TW</v>
      </c>
      <c r="B38" t="str">
        <f>Hyperlink("https://www.diodes.com/assets/Datasheets/ds30154.pdf","MMBD4148TW Datasheet")</f>
        <v>MMBD4148TW Datasheet</v>
      </c>
      <c r="C38" t="s">
        <v>32</v>
      </c>
      <c r="D38" t="s">
        <v>39</v>
      </c>
      <c r="E38" t="s">
        <v>34</v>
      </c>
      <c r="F38" t="s">
        <v>76</v>
      </c>
      <c r="G38" t="s">
        <v>36</v>
      </c>
      <c r="H38">
        <v>200</v>
      </c>
      <c r="I38" t="s">
        <v>33</v>
      </c>
      <c r="J38">
        <v>75</v>
      </c>
      <c r="K38">
        <v>4</v>
      </c>
      <c r="L38">
        <v>150</v>
      </c>
      <c r="M38">
        <v>2</v>
      </c>
      <c r="N38">
        <v>1</v>
      </c>
      <c r="O38">
        <v>1</v>
      </c>
      <c r="Q38">
        <v>2</v>
      </c>
      <c r="S38">
        <v>1.25</v>
      </c>
      <c r="U38" t="s">
        <v>41</v>
      </c>
      <c r="V38">
        <v>4</v>
      </c>
      <c r="W38">
        <v>75</v>
      </c>
      <c r="X38">
        <v>0.9</v>
      </c>
      <c r="Y38">
        <v>1</v>
      </c>
      <c r="AD38">
        <v>2</v>
      </c>
      <c r="AF38" t="s">
        <v>79</v>
      </c>
    </row>
    <row r="39" spans="1:32">
      <c r="A39" t="str">
        <f>Hyperlink("https://www.diodes.com/part/view/BAS16TWQ","BAS16TWQ")</f>
        <v>BAS16TWQ</v>
      </c>
      <c r="B39" t="str">
        <f>Hyperlink("https://www.diodes.com/assets/Datasheets/BAS16TWQ.pdf","BAS16TWQ Datasheet")</f>
        <v>BAS16TWQ Datasheet</v>
      </c>
      <c r="C39" t="s">
        <v>85</v>
      </c>
      <c r="D39" t="s">
        <v>39</v>
      </c>
      <c r="E39" t="s">
        <v>40</v>
      </c>
      <c r="F39" t="s">
        <v>76</v>
      </c>
      <c r="G39" t="s">
        <v>36</v>
      </c>
      <c r="H39">
        <v>200</v>
      </c>
      <c r="I39" t="s">
        <v>33</v>
      </c>
      <c r="J39">
        <v>75</v>
      </c>
      <c r="K39">
        <v>4</v>
      </c>
      <c r="L39">
        <v>150</v>
      </c>
      <c r="M39">
        <v>2</v>
      </c>
      <c r="N39" t="s">
        <v>86</v>
      </c>
      <c r="O39">
        <v>1</v>
      </c>
      <c r="Q39">
        <v>2</v>
      </c>
      <c r="U39" t="s">
        <v>49</v>
      </c>
      <c r="V39">
        <v>4</v>
      </c>
      <c r="W39">
        <v>75</v>
      </c>
      <c r="X39">
        <v>0.9</v>
      </c>
      <c r="Y39">
        <v>1</v>
      </c>
      <c r="AD39">
        <v>2</v>
      </c>
      <c r="AF39" t="s">
        <v>79</v>
      </c>
    </row>
    <row r="40" spans="1:32">
      <c r="A40" t="str">
        <f>Hyperlink("https://www.diodes.com/part/view/BAS16V","BAS16V")</f>
        <v>BAS16V</v>
      </c>
      <c r="B40" t="str">
        <f>Hyperlink("https://www.diodes.com/assets/Datasheets/BAS16V.pdf","BAS16V Datasheet")</f>
        <v>BAS16V Datasheet</v>
      </c>
      <c r="C40" t="s">
        <v>87</v>
      </c>
      <c r="D40" t="s">
        <v>39</v>
      </c>
      <c r="E40" t="s">
        <v>34</v>
      </c>
      <c r="F40" t="s">
        <v>61</v>
      </c>
      <c r="G40" t="s">
        <v>36</v>
      </c>
      <c r="H40">
        <v>150</v>
      </c>
      <c r="I40" t="s">
        <v>33</v>
      </c>
      <c r="J40">
        <v>75</v>
      </c>
      <c r="K40">
        <v>4</v>
      </c>
      <c r="L40">
        <v>200</v>
      </c>
      <c r="M40">
        <v>2</v>
      </c>
      <c r="N40">
        <v>1</v>
      </c>
      <c r="O40">
        <v>1</v>
      </c>
      <c r="Q40">
        <v>2</v>
      </c>
      <c r="U40">
        <v>75</v>
      </c>
      <c r="V40">
        <v>4</v>
      </c>
      <c r="W40">
        <v>75</v>
      </c>
      <c r="X40">
        <v>0.9</v>
      </c>
      <c r="Y40">
        <v>1</v>
      </c>
      <c r="AD40">
        <v>2</v>
      </c>
      <c r="AF40" t="s">
        <v>69</v>
      </c>
    </row>
    <row r="41" spans="1:32">
      <c r="A41" t="str">
        <f>Hyperlink("https://www.diodes.com/part/view/BAS16VA","BAS16VA")</f>
        <v>BAS16VA</v>
      </c>
      <c r="B41" t="str">
        <f>Hyperlink("https://www.diodes.com/assets/Datasheets/BAS16VA.pdf","BAS16VA Datasheet")</f>
        <v>BAS16VA Datasheet</v>
      </c>
      <c r="C41" t="s">
        <v>75</v>
      </c>
      <c r="D41" t="s">
        <v>39</v>
      </c>
      <c r="E41" t="s">
        <v>34</v>
      </c>
      <c r="F41" t="s">
        <v>88</v>
      </c>
      <c r="G41" t="s">
        <v>36</v>
      </c>
      <c r="H41">
        <v>350</v>
      </c>
      <c r="I41" t="s">
        <v>33</v>
      </c>
      <c r="J41">
        <v>100</v>
      </c>
      <c r="K41">
        <v>4</v>
      </c>
      <c r="L41">
        <v>200</v>
      </c>
      <c r="M41">
        <v>4</v>
      </c>
      <c r="N41">
        <v>0.715</v>
      </c>
      <c r="O41">
        <v>0.5</v>
      </c>
      <c r="Q41">
        <v>1.5</v>
      </c>
      <c r="U41">
        <v>100</v>
      </c>
      <c r="V41">
        <v>4</v>
      </c>
      <c r="W41">
        <v>0.5</v>
      </c>
      <c r="X41">
        <v>0.715</v>
      </c>
      <c r="AB41">
        <v>0.5</v>
      </c>
      <c r="AD41">
        <v>1.5</v>
      </c>
      <c r="AF41" t="s">
        <v>69</v>
      </c>
    </row>
    <row r="42" spans="1:32">
      <c r="A42" t="str">
        <f>Hyperlink("https://www.diodes.com/part/view/BAS16VAQ","BAS16VAQ")</f>
        <v>BAS16VAQ</v>
      </c>
      <c r="B42" t="str">
        <f>Hyperlink("https://www.diodes.com/assets/Datasheets/BAS16VAQ.pdf","BAS16VAQ Datasheet")</f>
        <v>BAS16VAQ Datasheet</v>
      </c>
      <c r="C42" t="s">
        <v>75</v>
      </c>
      <c r="D42" t="s">
        <v>39</v>
      </c>
      <c r="E42" t="s">
        <v>40</v>
      </c>
      <c r="F42" t="s">
        <v>76</v>
      </c>
      <c r="G42" t="s">
        <v>36</v>
      </c>
      <c r="H42">
        <v>350</v>
      </c>
      <c r="I42" t="s">
        <v>33</v>
      </c>
      <c r="J42">
        <v>100</v>
      </c>
      <c r="K42">
        <v>4</v>
      </c>
      <c r="M42">
        <v>4.0</v>
      </c>
      <c r="N42" t="s">
        <v>89</v>
      </c>
      <c r="O42" t="s">
        <v>90</v>
      </c>
      <c r="Q42">
        <v>1.5</v>
      </c>
      <c r="U42" t="s">
        <v>91</v>
      </c>
      <c r="V42">
        <v>4</v>
      </c>
      <c r="W42" t="s">
        <v>90</v>
      </c>
      <c r="X42" t="s">
        <v>92</v>
      </c>
      <c r="Y42" t="s">
        <v>93</v>
      </c>
      <c r="AB42">
        <v>0.5</v>
      </c>
      <c r="AD42">
        <v>1.5</v>
      </c>
      <c r="AF42" t="s">
        <v>69</v>
      </c>
    </row>
    <row r="43" spans="1:32">
      <c r="A43" t="str">
        <f>Hyperlink("https://www.diodes.com/part/view/BAS16VV","BAS16VV")</f>
        <v>BAS16VV</v>
      </c>
      <c r="B43" t="str">
        <f>Hyperlink("https://www.diodes.com/assets/Datasheets/BAS16VV.pdf","BAS16VV Datasheet")</f>
        <v>BAS16VV Datasheet</v>
      </c>
      <c r="C43" t="s">
        <v>54</v>
      </c>
      <c r="D43" t="s">
        <v>39</v>
      </c>
      <c r="E43" t="s">
        <v>34</v>
      </c>
      <c r="F43" t="s">
        <v>76</v>
      </c>
      <c r="G43" t="s">
        <v>36</v>
      </c>
      <c r="H43">
        <v>350</v>
      </c>
      <c r="I43" t="s">
        <v>33</v>
      </c>
      <c r="J43">
        <v>100</v>
      </c>
      <c r="K43">
        <v>4</v>
      </c>
      <c r="L43">
        <v>200</v>
      </c>
      <c r="M43">
        <v>4</v>
      </c>
      <c r="N43" t="s">
        <v>94</v>
      </c>
      <c r="O43">
        <v>0.5</v>
      </c>
      <c r="Q43">
        <v>1.5</v>
      </c>
      <c r="U43">
        <v>100</v>
      </c>
      <c r="V43">
        <v>4</v>
      </c>
      <c r="W43">
        <v>80</v>
      </c>
      <c r="X43">
        <v>0.9</v>
      </c>
      <c r="Y43">
        <v>1</v>
      </c>
      <c r="AB43">
        <v>0.5</v>
      </c>
      <c r="AD43">
        <v>1.5</v>
      </c>
      <c r="AF43" t="s">
        <v>69</v>
      </c>
    </row>
    <row r="44" spans="1:32">
      <c r="A44" t="str">
        <f>Hyperlink("https://www.diodes.com/part/view/BAS16VVQ","BAS16VVQ")</f>
        <v>BAS16VVQ</v>
      </c>
      <c r="B44" t="str">
        <f>Hyperlink("https://www.diodes.com/assets/Datasheets/BAS16VVQ.pdf","BAS16VVQ Datasheet")</f>
        <v>BAS16VVQ Datasheet</v>
      </c>
      <c r="C44" t="s">
        <v>75</v>
      </c>
      <c r="D44" t="s">
        <v>39</v>
      </c>
      <c r="E44" t="s">
        <v>40</v>
      </c>
      <c r="F44" t="s">
        <v>76</v>
      </c>
      <c r="G44" t="s">
        <v>36</v>
      </c>
      <c r="H44">
        <v>350</v>
      </c>
      <c r="I44" t="s">
        <v>33</v>
      </c>
      <c r="J44">
        <v>100</v>
      </c>
      <c r="K44">
        <v>4</v>
      </c>
      <c r="M44">
        <v>4</v>
      </c>
      <c r="N44" t="s">
        <v>84</v>
      </c>
      <c r="O44" t="s">
        <v>95</v>
      </c>
      <c r="Q44">
        <v>1.5</v>
      </c>
      <c r="U44">
        <v>100</v>
      </c>
      <c r="V44">
        <v>4</v>
      </c>
      <c r="W44" t="s">
        <v>95</v>
      </c>
      <c r="X44">
        <v>0.715</v>
      </c>
      <c r="Y44">
        <v>0.855</v>
      </c>
      <c r="AA44" t="s">
        <v>96</v>
      </c>
      <c r="AB44">
        <v>0.5</v>
      </c>
      <c r="AD44">
        <v>1.5</v>
      </c>
      <c r="AF44" t="s">
        <v>69</v>
      </c>
    </row>
    <row r="45" spans="1:32">
      <c r="A45" t="str">
        <f>Hyperlink("https://www.diodes.com/part/view/BAS16W","BAS16W")</f>
        <v>BAS16W</v>
      </c>
      <c r="B45" t="str">
        <f>Hyperlink("https://www.diodes.com/assets/Datasheets/MMBD4148W_BAS16W.pdf","BAS16W Datasheet")</f>
        <v>BAS16W Datasheet</v>
      </c>
      <c r="C45" t="s">
        <v>32</v>
      </c>
      <c r="D45" t="s">
        <v>39</v>
      </c>
      <c r="E45" t="s">
        <v>34</v>
      </c>
      <c r="F45" t="s">
        <v>35</v>
      </c>
      <c r="G45" t="s">
        <v>36</v>
      </c>
      <c r="H45">
        <v>200</v>
      </c>
      <c r="I45" t="s">
        <v>33</v>
      </c>
      <c r="J45">
        <v>75</v>
      </c>
      <c r="K45">
        <v>4</v>
      </c>
      <c r="L45">
        <v>150</v>
      </c>
      <c r="M45">
        <v>2</v>
      </c>
      <c r="N45">
        <v>1</v>
      </c>
      <c r="O45">
        <v>1</v>
      </c>
      <c r="Q45">
        <v>2</v>
      </c>
      <c r="U45" t="s">
        <v>41</v>
      </c>
      <c r="V45">
        <v>4</v>
      </c>
      <c r="W45">
        <v>75</v>
      </c>
      <c r="X45">
        <v>0.9</v>
      </c>
      <c r="Y45">
        <v>1</v>
      </c>
      <c r="AD45">
        <v>2</v>
      </c>
      <c r="AF45" t="s">
        <v>97</v>
      </c>
    </row>
    <row r="46" spans="1:32">
      <c r="A46" t="str">
        <f>Hyperlink("https://www.diodes.com/part/view/BAS16W%28LS%29","BAS16W(LS)")</f>
        <v>BAS16W(LS)</v>
      </c>
      <c r="B46" t="str">
        <f>Hyperlink("https://www.diodes.com/assets/Datasheets/BAS16W_LS.pdf","BAS16W(LS) Datasheet")</f>
        <v>BAS16W(LS) Datasheet</v>
      </c>
      <c r="C46" t="s">
        <v>43</v>
      </c>
      <c r="D46" t="s">
        <v>33</v>
      </c>
      <c r="E46" t="s">
        <v>34</v>
      </c>
      <c r="F46" t="s">
        <v>35</v>
      </c>
      <c r="G46" t="s">
        <v>36</v>
      </c>
      <c r="H46">
        <v>200</v>
      </c>
      <c r="I46" t="s">
        <v>33</v>
      </c>
      <c r="J46">
        <v>100</v>
      </c>
      <c r="K46">
        <v>4</v>
      </c>
      <c r="L46">
        <v>150</v>
      </c>
      <c r="M46">
        <v>2</v>
      </c>
      <c r="N46">
        <v>150</v>
      </c>
      <c r="O46">
        <v>10</v>
      </c>
      <c r="U46">
        <v>100</v>
      </c>
      <c r="V46">
        <v>4</v>
      </c>
      <c r="W46">
        <v>75</v>
      </c>
      <c r="Y46">
        <v>0.855</v>
      </c>
      <c r="AB46" t="s">
        <v>70</v>
      </c>
      <c r="AD46">
        <v>2</v>
      </c>
      <c r="AF46" t="s">
        <v>98</v>
      </c>
    </row>
    <row r="47" spans="1:32">
      <c r="A47" t="str">
        <f>Hyperlink("https://www.diodes.com/part/view/BAS19","BAS19")</f>
        <v>BAS19</v>
      </c>
      <c r="B47" t="str">
        <f>Hyperlink("https://www.diodes.com/assets/Datasheets/Ds12004.pdf","BAS19 Datasheet")</f>
        <v>BAS19 Datasheet</v>
      </c>
      <c r="C47" t="s">
        <v>32</v>
      </c>
      <c r="D47" t="s">
        <v>39</v>
      </c>
      <c r="E47" t="s">
        <v>34</v>
      </c>
      <c r="F47" t="s">
        <v>35</v>
      </c>
      <c r="G47" t="s">
        <v>36</v>
      </c>
      <c r="H47">
        <v>350</v>
      </c>
      <c r="I47" t="s">
        <v>33</v>
      </c>
      <c r="J47">
        <v>120</v>
      </c>
      <c r="K47">
        <v>50</v>
      </c>
      <c r="L47">
        <v>200</v>
      </c>
      <c r="M47">
        <v>2.5</v>
      </c>
      <c r="N47">
        <v>1</v>
      </c>
      <c r="O47">
        <v>0.1</v>
      </c>
      <c r="Q47">
        <v>5</v>
      </c>
      <c r="S47">
        <v>1.25</v>
      </c>
      <c r="U47">
        <v>120</v>
      </c>
      <c r="V47">
        <v>50</v>
      </c>
      <c r="W47">
        <v>120</v>
      </c>
      <c r="X47">
        <v>0.715</v>
      </c>
      <c r="Y47">
        <v>0.855</v>
      </c>
      <c r="AD47">
        <v>5</v>
      </c>
      <c r="AF47" t="s">
        <v>65</v>
      </c>
    </row>
    <row r="48" spans="1:32">
      <c r="A48" t="str">
        <f>Hyperlink("https://www.diodes.com/part/view/BAS19W","BAS19W")</f>
        <v>BAS19W</v>
      </c>
      <c r="B48" t="str">
        <f>Hyperlink("https://www.diodes.com/assets/Datasheets/BAS19W-BAS21W.pdf","BAS19W Datasheet")</f>
        <v>BAS19W Datasheet</v>
      </c>
      <c r="C48" t="s">
        <v>32</v>
      </c>
      <c r="D48" t="s">
        <v>39</v>
      </c>
      <c r="E48" t="s">
        <v>34</v>
      </c>
      <c r="F48" t="s">
        <v>35</v>
      </c>
      <c r="G48" t="s">
        <v>36</v>
      </c>
      <c r="H48">
        <v>200</v>
      </c>
      <c r="I48" t="s">
        <v>33</v>
      </c>
      <c r="J48">
        <v>120</v>
      </c>
      <c r="K48">
        <v>50</v>
      </c>
      <c r="L48">
        <v>200</v>
      </c>
      <c r="M48">
        <v>2.5</v>
      </c>
      <c r="N48">
        <v>1</v>
      </c>
      <c r="O48">
        <v>0.1</v>
      </c>
      <c r="Q48">
        <v>5</v>
      </c>
      <c r="U48">
        <v>120</v>
      </c>
      <c r="V48">
        <v>50</v>
      </c>
      <c r="W48">
        <v>120</v>
      </c>
      <c r="X48">
        <v>0.715</v>
      </c>
      <c r="Y48">
        <v>0.855</v>
      </c>
      <c r="AD48">
        <v>5</v>
      </c>
      <c r="AF48" t="s">
        <v>97</v>
      </c>
    </row>
    <row r="49" spans="1:32">
      <c r="A49" t="str">
        <f>Hyperlink("https://www.diodes.com/part/view/BAS20","BAS20")</f>
        <v>BAS20</v>
      </c>
      <c r="B49" t="str">
        <f>Hyperlink("https://www.diodes.com/assets/Datasheets/Ds12004.pdf","BAS20 Datasheet")</f>
        <v>BAS20 Datasheet</v>
      </c>
      <c r="C49" t="s">
        <v>32</v>
      </c>
      <c r="D49" t="s">
        <v>39</v>
      </c>
      <c r="E49" t="s">
        <v>34</v>
      </c>
      <c r="F49" t="s">
        <v>35</v>
      </c>
      <c r="G49" t="s">
        <v>36</v>
      </c>
      <c r="H49">
        <v>350</v>
      </c>
      <c r="I49" t="s">
        <v>33</v>
      </c>
      <c r="J49">
        <v>200</v>
      </c>
      <c r="K49">
        <v>50</v>
      </c>
      <c r="L49">
        <v>200</v>
      </c>
      <c r="M49">
        <v>2.5</v>
      </c>
      <c r="N49">
        <v>1</v>
      </c>
      <c r="O49">
        <v>0.1</v>
      </c>
      <c r="Q49">
        <v>5</v>
      </c>
      <c r="U49">
        <v>200</v>
      </c>
      <c r="V49">
        <v>50</v>
      </c>
      <c r="W49">
        <v>200</v>
      </c>
      <c r="X49">
        <v>0.715</v>
      </c>
      <c r="Y49">
        <v>0.855</v>
      </c>
      <c r="AD49">
        <v>5</v>
      </c>
      <c r="AF49" t="s">
        <v>65</v>
      </c>
    </row>
    <row r="50" spans="1:32">
      <c r="A50" t="str">
        <f>Hyperlink("https://www.diodes.com/part/view/BAS20DW","BAS20DW")</f>
        <v>BAS20DW</v>
      </c>
      <c r="B50" t="str">
        <f>Hyperlink("https://www.diodes.com/assets/Datasheets/Ds30617.pdf","BAS20DW Datasheet")</f>
        <v>BAS20DW Datasheet</v>
      </c>
      <c r="C50" t="s">
        <v>32</v>
      </c>
      <c r="D50" t="s">
        <v>39</v>
      </c>
      <c r="E50" t="s">
        <v>34</v>
      </c>
      <c r="F50" t="s">
        <v>61</v>
      </c>
      <c r="G50" t="s">
        <v>36</v>
      </c>
      <c r="H50">
        <v>200</v>
      </c>
      <c r="I50" t="s">
        <v>33</v>
      </c>
      <c r="J50">
        <v>200</v>
      </c>
      <c r="K50">
        <v>50</v>
      </c>
      <c r="L50">
        <v>200</v>
      </c>
      <c r="M50">
        <v>2.5</v>
      </c>
      <c r="N50">
        <v>1</v>
      </c>
      <c r="O50">
        <v>0.1</v>
      </c>
      <c r="Q50">
        <v>5</v>
      </c>
      <c r="U50">
        <v>200</v>
      </c>
      <c r="V50">
        <v>50</v>
      </c>
      <c r="W50">
        <v>200</v>
      </c>
      <c r="X50">
        <v>0.9</v>
      </c>
      <c r="Y50">
        <v>1</v>
      </c>
      <c r="AD50">
        <v>5</v>
      </c>
      <c r="AF50" t="s">
        <v>79</v>
      </c>
    </row>
    <row r="51" spans="1:32">
      <c r="A51" t="str">
        <f>Hyperlink("https://www.diodes.com/part/view/BAS20W","BAS20W")</f>
        <v>BAS20W</v>
      </c>
      <c r="B51" t="str">
        <f>Hyperlink("https://www.diodes.com/assets/Datasheets/BAS19W-BAS21W.pdf","BAS20W Datasheet")</f>
        <v>BAS20W Datasheet</v>
      </c>
      <c r="C51" t="s">
        <v>32</v>
      </c>
      <c r="D51" t="s">
        <v>39</v>
      </c>
      <c r="E51" t="s">
        <v>34</v>
      </c>
      <c r="F51" t="s">
        <v>35</v>
      </c>
      <c r="G51" t="s">
        <v>36</v>
      </c>
      <c r="H51">
        <v>200</v>
      </c>
      <c r="I51" t="s">
        <v>33</v>
      </c>
      <c r="J51">
        <v>200</v>
      </c>
      <c r="K51">
        <v>50</v>
      </c>
      <c r="L51">
        <v>200</v>
      </c>
      <c r="M51">
        <v>2.5</v>
      </c>
      <c r="N51">
        <v>1</v>
      </c>
      <c r="O51">
        <v>0.1</v>
      </c>
      <c r="Q51">
        <v>5</v>
      </c>
      <c r="U51">
        <v>200</v>
      </c>
      <c r="V51">
        <v>50</v>
      </c>
      <c r="W51">
        <v>200</v>
      </c>
      <c r="X51">
        <v>0.9</v>
      </c>
      <c r="Y51">
        <v>1</v>
      </c>
      <c r="AD51">
        <v>5</v>
      </c>
      <c r="AF51" t="s">
        <v>97</v>
      </c>
    </row>
    <row r="52" spans="1:32">
      <c r="A52" t="str">
        <f>Hyperlink("https://www.diodes.com/part/view/BAS21","BAS21")</f>
        <v>BAS21</v>
      </c>
      <c r="B52" t="str">
        <f>Hyperlink("https://www.diodes.com/assets/Datasheets/Ds12004.pdf","BAS21 Datasheet")</f>
        <v>BAS21 Datasheet</v>
      </c>
      <c r="C52" t="s">
        <v>32</v>
      </c>
      <c r="D52" t="s">
        <v>39</v>
      </c>
      <c r="E52" t="s">
        <v>34</v>
      </c>
      <c r="F52" t="s">
        <v>35</v>
      </c>
      <c r="G52" t="s">
        <v>36</v>
      </c>
      <c r="H52">
        <v>350</v>
      </c>
      <c r="I52" t="s">
        <v>33</v>
      </c>
      <c r="J52">
        <v>250</v>
      </c>
      <c r="K52">
        <v>50</v>
      </c>
      <c r="L52">
        <v>200</v>
      </c>
      <c r="M52">
        <v>2.5</v>
      </c>
      <c r="N52">
        <v>1</v>
      </c>
      <c r="O52">
        <v>0.1</v>
      </c>
      <c r="Q52">
        <v>5</v>
      </c>
      <c r="U52">
        <v>250</v>
      </c>
      <c r="V52">
        <v>50</v>
      </c>
      <c r="W52">
        <v>250</v>
      </c>
      <c r="X52">
        <v>0.9</v>
      </c>
      <c r="Y52">
        <v>1</v>
      </c>
      <c r="AD52">
        <v>5</v>
      </c>
      <c r="AF52" t="s">
        <v>65</v>
      </c>
    </row>
    <row r="53" spans="1:32">
      <c r="A53" t="str">
        <f>Hyperlink("https://www.diodes.com/part/view/BAS21%28LS%29","BAS21(LS)")</f>
        <v>BAS21(LS)</v>
      </c>
      <c r="B53" t="str">
        <f>Hyperlink("https://www.diodes.com/assets/Datasheets/BAS21_LS.pdf","BAS21(LS) Datasheet")</f>
        <v>BAS21(LS) Datasheet</v>
      </c>
      <c r="C53" t="s">
        <v>43</v>
      </c>
      <c r="D53" t="s">
        <v>33</v>
      </c>
      <c r="E53" t="s">
        <v>34</v>
      </c>
      <c r="F53" t="s">
        <v>35</v>
      </c>
      <c r="G53" t="s">
        <v>36</v>
      </c>
      <c r="H53">
        <v>225</v>
      </c>
      <c r="I53" t="s">
        <v>33</v>
      </c>
      <c r="J53">
        <v>250</v>
      </c>
      <c r="K53">
        <v>50</v>
      </c>
      <c r="L53">
        <v>200</v>
      </c>
      <c r="N53">
        <v>200</v>
      </c>
      <c r="O53">
        <v>100</v>
      </c>
      <c r="S53">
        <v>1.25</v>
      </c>
      <c r="U53">
        <v>250</v>
      </c>
      <c r="V53">
        <v>50</v>
      </c>
      <c r="W53">
        <v>250</v>
      </c>
      <c r="AB53" t="s">
        <v>99</v>
      </c>
      <c r="AD53">
        <v>5</v>
      </c>
      <c r="AF53" t="s">
        <v>100</v>
      </c>
    </row>
    <row r="54" spans="1:32">
      <c r="A54" t="str">
        <f>Hyperlink("https://www.diodes.com/part/view/BAS21C%28LS%29","BAS21C(LS)")</f>
        <v>BAS21C(LS)</v>
      </c>
      <c r="B54" t="str">
        <f>Hyperlink("https://www.diodes.com/assets/Datasheets/BAS21C_LS.pdf","BAS21C(LS) Datasheet")</f>
        <v>BAS21C(LS) Datasheet</v>
      </c>
      <c r="C54" t="s">
        <v>43</v>
      </c>
      <c r="D54" t="s">
        <v>33</v>
      </c>
      <c r="E54" t="s">
        <v>34</v>
      </c>
      <c r="F54" t="s">
        <v>35</v>
      </c>
      <c r="G54" t="s">
        <v>36</v>
      </c>
      <c r="H54">
        <v>225</v>
      </c>
      <c r="I54" t="s">
        <v>33</v>
      </c>
      <c r="J54">
        <v>250</v>
      </c>
      <c r="K54">
        <v>50</v>
      </c>
      <c r="L54">
        <v>200</v>
      </c>
      <c r="N54">
        <v>200</v>
      </c>
      <c r="O54">
        <v>100</v>
      </c>
      <c r="S54">
        <v>1.25</v>
      </c>
      <c r="U54">
        <v>250</v>
      </c>
      <c r="V54">
        <v>50</v>
      </c>
      <c r="W54">
        <v>250</v>
      </c>
      <c r="AB54" t="s">
        <v>99</v>
      </c>
      <c r="AD54">
        <v>5</v>
      </c>
      <c r="AF54" t="s">
        <v>100</v>
      </c>
    </row>
    <row r="55" spans="1:32">
      <c r="A55" t="str">
        <f>Hyperlink("https://www.diodes.com/part/view/BAS21DW","BAS21DW")</f>
        <v>BAS21DW</v>
      </c>
      <c r="B55" t="str">
        <f>Hyperlink("https://www.diodes.com/assets/Datasheets/Ds30617.pdf","BAS21DW Datasheet")</f>
        <v>BAS21DW Datasheet</v>
      </c>
      <c r="C55" t="s">
        <v>32</v>
      </c>
      <c r="D55" t="s">
        <v>39</v>
      </c>
      <c r="E55" t="s">
        <v>34</v>
      </c>
      <c r="F55" t="s">
        <v>61</v>
      </c>
      <c r="G55" t="s">
        <v>36</v>
      </c>
      <c r="H55">
        <v>200</v>
      </c>
      <c r="I55" t="s">
        <v>33</v>
      </c>
      <c r="J55">
        <v>250</v>
      </c>
      <c r="K55">
        <v>50</v>
      </c>
      <c r="L55">
        <v>200</v>
      </c>
      <c r="M55">
        <v>2.5</v>
      </c>
      <c r="N55">
        <v>1</v>
      </c>
      <c r="O55">
        <v>0.1</v>
      </c>
      <c r="Q55">
        <v>5</v>
      </c>
      <c r="U55">
        <v>250</v>
      </c>
      <c r="V55">
        <v>50</v>
      </c>
      <c r="W55">
        <v>250</v>
      </c>
      <c r="X55">
        <v>0.9</v>
      </c>
      <c r="Y55">
        <v>1</v>
      </c>
      <c r="AD55">
        <v>5</v>
      </c>
      <c r="AF55" t="s">
        <v>79</v>
      </c>
    </row>
    <row r="56" spans="1:32">
      <c r="A56" t="str">
        <f>Hyperlink("https://www.diodes.com/part/view/BAS21DWA","BAS21DWA")</f>
        <v>BAS21DWA</v>
      </c>
      <c r="B56" t="str">
        <f>Hyperlink("https://www.diodes.com/assets/Datasheets/BAS21DWA.pdf","BAS21DWA Datasheet")</f>
        <v>BAS21DWA Datasheet</v>
      </c>
      <c r="C56" t="s">
        <v>54</v>
      </c>
      <c r="D56" t="s">
        <v>39</v>
      </c>
      <c r="E56" t="s">
        <v>34</v>
      </c>
      <c r="F56" t="s">
        <v>101</v>
      </c>
      <c r="G56" t="s">
        <v>36</v>
      </c>
      <c r="H56">
        <v>285</v>
      </c>
      <c r="I56" t="s">
        <v>33</v>
      </c>
      <c r="J56">
        <v>250</v>
      </c>
      <c r="K56">
        <v>50</v>
      </c>
      <c r="L56">
        <v>200</v>
      </c>
      <c r="M56">
        <v>4</v>
      </c>
      <c r="N56" t="s">
        <v>102</v>
      </c>
      <c r="O56">
        <v>0.1</v>
      </c>
      <c r="Q56">
        <v>5</v>
      </c>
      <c r="U56">
        <v>250</v>
      </c>
      <c r="V56">
        <v>50</v>
      </c>
      <c r="W56">
        <v>200</v>
      </c>
      <c r="X56">
        <v>0.9</v>
      </c>
      <c r="Y56">
        <v>1</v>
      </c>
      <c r="AD56">
        <v>5</v>
      </c>
      <c r="AF56" t="s">
        <v>103</v>
      </c>
    </row>
    <row r="57" spans="1:32">
      <c r="A57" t="str">
        <f>Hyperlink("https://www.diodes.com/part/view/BAS21S%28LS%29","BAS21S(LS)")</f>
        <v>BAS21S(LS)</v>
      </c>
      <c r="B57" t="str">
        <f>Hyperlink("https://www.diodes.com/assets/Datasheets/BAS21S_LS.pdf","BAS21S(LS) Datasheet")</f>
        <v>BAS21S(LS) Datasheet</v>
      </c>
      <c r="C57" t="s">
        <v>43</v>
      </c>
      <c r="D57" t="s">
        <v>33</v>
      </c>
      <c r="E57" t="s">
        <v>34</v>
      </c>
      <c r="F57" t="s">
        <v>35</v>
      </c>
      <c r="G57" t="s">
        <v>36</v>
      </c>
      <c r="H57">
        <v>225</v>
      </c>
      <c r="I57" t="s">
        <v>33</v>
      </c>
      <c r="J57">
        <v>250</v>
      </c>
      <c r="K57">
        <v>50</v>
      </c>
      <c r="L57">
        <v>200</v>
      </c>
      <c r="N57">
        <v>200</v>
      </c>
      <c r="O57">
        <v>100</v>
      </c>
      <c r="S57">
        <v>1.25</v>
      </c>
      <c r="U57">
        <v>250</v>
      </c>
      <c r="V57">
        <v>50</v>
      </c>
      <c r="W57">
        <v>250</v>
      </c>
      <c r="AB57" t="s">
        <v>99</v>
      </c>
      <c r="AD57">
        <v>5</v>
      </c>
      <c r="AF57" t="s">
        <v>100</v>
      </c>
    </row>
    <row r="58" spans="1:32">
      <c r="A58" t="str">
        <f>Hyperlink("https://www.diodes.com/part/view/BAS21T","BAS21T")</f>
        <v>BAS21T</v>
      </c>
      <c r="B58" t="str">
        <f>Hyperlink("https://www.diodes.com/assets/Datasheets/Ds30264.pdf","BAS21T Datasheet")</f>
        <v>BAS21T Datasheet</v>
      </c>
      <c r="C58" t="s">
        <v>32</v>
      </c>
      <c r="D58" t="s">
        <v>39</v>
      </c>
      <c r="E58" t="s">
        <v>34</v>
      </c>
      <c r="F58" t="s">
        <v>35</v>
      </c>
      <c r="G58" t="s">
        <v>36</v>
      </c>
      <c r="H58">
        <v>150</v>
      </c>
      <c r="I58" t="s">
        <v>33</v>
      </c>
      <c r="J58">
        <v>250</v>
      </c>
      <c r="K58">
        <v>50</v>
      </c>
      <c r="L58">
        <v>200</v>
      </c>
      <c r="M58">
        <v>2.5</v>
      </c>
      <c r="N58">
        <v>1</v>
      </c>
      <c r="O58">
        <v>0.1</v>
      </c>
      <c r="Q58">
        <v>5</v>
      </c>
      <c r="U58">
        <v>200</v>
      </c>
      <c r="V58">
        <v>50</v>
      </c>
      <c r="W58">
        <v>200</v>
      </c>
      <c r="X58">
        <v>0.9</v>
      </c>
      <c r="Y58">
        <v>1</v>
      </c>
      <c r="AB58" t="s">
        <v>104</v>
      </c>
      <c r="AD58">
        <v>5</v>
      </c>
      <c r="AF58" t="s">
        <v>68</v>
      </c>
    </row>
    <row r="59" spans="1:32">
      <c r="A59" t="str">
        <f>Hyperlink("https://www.diodes.com/part/view/BAS21TM","BAS21TM")</f>
        <v>BAS21TM</v>
      </c>
      <c r="B59" t="str">
        <f>Hyperlink("https://www.diodes.com/assets/Datasheets/BAS21TM.pdf","BAS21TM Datasheet")</f>
        <v>BAS21TM Datasheet</v>
      </c>
      <c r="C59" t="s">
        <v>54</v>
      </c>
      <c r="D59" t="s">
        <v>33</v>
      </c>
      <c r="E59" t="s">
        <v>34</v>
      </c>
      <c r="F59" t="s">
        <v>105</v>
      </c>
      <c r="G59" t="s">
        <v>36</v>
      </c>
      <c r="H59">
        <v>300</v>
      </c>
      <c r="I59" t="s">
        <v>33</v>
      </c>
      <c r="J59">
        <v>250</v>
      </c>
      <c r="K59">
        <v>50</v>
      </c>
      <c r="L59">
        <v>200</v>
      </c>
      <c r="M59">
        <v>10</v>
      </c>
      <c r="N59" t="s">
        <v>55</v>
      </c>
      <c r="O59">
        <v>0.1</v>
      </c>
      <c r="Q59">
        <v>5</v>
      </c>
      <c r="U59">
        <v>250</v>
      </c>
      <c r="V59">
        <v>50</v>
      </c>
      <c r="W59">
        <v>250</v>
      </c>
      <c r="X59">
        <v>0.9</v>
      </c>
      <c r="Y59">
        <v>1</v>
      </c>
      <c r="AB59" t="s">
        <v>106</v>
      </c>
      <c r="AD59">
        <v>5</v>
      </c>
      <c r="AF59" t="s">
        <v>107</v>
      </c>
    </row>
    <row r="60" spans="1:32">
      <c r="A60" t="str">
        <f>Hyperlink("https://www.diodes.com/part/view/BAS21TMQ","BAS21TMQ")</f>
        <v>BAS21TMQ</v>
      </c>
      <c r="B60" t="str">
        <f>Hyperlink("https://www.diodes.com/assets/Datasheets/BAS21TMQ.pdf","BAS21TMQ Datasheet")</f>
        <v>BAS21TMQ Datasheet</v>
      </c>
      <c r="C60" t="s">
        <v>54</v>
      </c>
      <c r="D60" t="s">
        <v>39</v>
      </c>
      <c r="E60" t="s">
        <v>40</v>
      </c>
      <c r="F60" t="s">
        <v>105</v>
      </c>
      <c r="G60" t="s">
        <v>36</v>
      </c>
      <c r="H60">
        <v>300</v>
      </c>
      <c r="I60" t="s">
        <v>33</v>
      </c>
      <c r="J60">
        <v>250</v>
      </c>
      <c r="K60">
        <v>50</v>
      </c>
      <c r="L60">
        <v>200</v>
      </c>
      <c r="M60">
        <v>10</v>
      </c>
      <c r="N60" t="s">
        <v>55</v>
      </c>
      <c r="O60">
        <v>0.1</v>
      </c>
      <c r="Q60">
        <v>5</v>
      </c>
      <c r="U60">
        <v>250</v>
      </c>
      <c r="V60">
        <v>50</v>
      </c>
      <c r="W60">
        <v>250</v>
      </c>
      <c r="X60">
        <v>0.9</v>
      </c>
      <c r="Y60">
        <v>1</v>
      </c>
      <c r="AB60" t="s">
        <v>106</v>
      </c>
      <c r="AD60">
        <v>5</v>
      </c>
      <c r="AF60" t="s">
        <v>107</v>
      </c>
    </row>
    <row r="61" spans="1:32">
      <c r="A61" t="str">
        <f>Hyperlink("https://www.diodes.com/part/view/BAS21TW","BAS21TW")</f>
        <v>BAS21TW</v>
      </c>
      <c r="B61" t="str">
        <f>Hyperlink("https://www.diodes.com/assets/Datasheets/BAS21TW.pdf","BAS21TW Datasheet")</f>
        <v>BAS21TW Datasheet</v>
      </c>
      <c r="C61" t="s">
        <v>54</v>
      </c>
      <c r="D61" t="s">
        <v>33</v>
      </c>
      <c r="E61" t="s">
        <v>34</v>
      </c>
      <c r="F61" t="s">
        <v>105</v>
      </c>
      <c r="G61" t="s">
        <v>36</v>
      </c>
      <c r="H61">
        <v>300</v>
      </c>
      <c r="I61" t="s">
        <v>33</v>
      </c>
      <c r="J61">
        <v>250</v>
      </c>
      <c r="K61">
        <v>50</v>
      </c>
      <c r="L61">
        <v>200</v>
      </c>
      <c r="M61">
        <v>10</v>
      </c>
      <c r="N61" t="s">
        <v>108</v>
      </c>
      <c r="O61">
        <v>0.1</v>
      </c>
      <c r="Q61">
        <v>5</v>
      </c>
      <c r="U61">
        <v>250</v>
      </c>
      <c r="V61">
        <v>50</v>
      </c>
      <c r="W61">
        <v>250</v>
      </c>
      <c r="X61">
        <v>0.9</v>
      </c>
      <c r="Y61">
        <v>1</v>
      </c>
      <c r="AB61" t="s">
        <v>106</v>
      </c>
      <c r="AD61">
        <v>5</v>
      </c>
      <c r="AF61" t="s">
        <v>79</v>
      </c>
    </row>
    <row r="62" spans="1:32">
      <c r="A62" t="str">
        <f>Hyperlink("https://www.diodes.com/part/view/BAS21TWQ","BAS21TWQ")</f>
        <v>BAS21TWQ</v>
      </c>
      <c r="B62" t="str">
        <f>Hyperlink("https://www.diodes.com/assets/Datasheets/BAS21TWQ.pdf","BAS21TWQ Datasheet")</f>
        <v>BAS21TWQ Datasheet</v>
      </c>
      <c r="C62" t="s">
        <v>109</v>
      </c>
      <c r="D62" t="s">
        <v>39</v>
      </c>
      <c r="E62" t="s">
        <v>40</v>
      </c>
      <c r="F62" t="s">
        <v>76</v>
      </c>
      <c r="G62" t="s">
        <v>36</v>
      </c>
      <c r="H62">
        <v>200</v>
      </c>
      <c r="I62" t="s">
        <v>33</v>
      </c>
      <c r="J62">
        <v>250</v>
      </c>
      <c r="K62">
        <v>50</v>
      </c>
      <c r="L62">
        <v>200</v>
      </c>
      <c r="M62">
        <v>2</v>
      </c>
      <c r="N62" t="s">
        <v>110</v>
      </c>
      <c r="O62">
        <v>0.1</v>
      </c>
      <c r="Q62">
        <v>5</v>
      </c>
      <c r="S62">
        <v>1</v>
      </c>
      <c r="U62">
        <v>250</v>
      </c>
      <c r="V62">
        <v>50</v>
      </c>
      <c r="W62">
        <v>250</v>
      </c>
      <c r="AB62" t="s">
        <v>106</v>
      </c>
      <c r="AD62">
        <v>5</v>
      </c>
      <c r="AF62" t="s">
        <v>79</v>
      </c>
    </row>
    <row r="63" spans="1:32">
      <c r="A63" t="str">
        <f>Hyperlink("https://www.diodes.com/part/view/BAS21W","BAS21W")</f>
        <v>BAS21W</v>
      </c>
      <c r="B63" t="str">
        <f>Hyperlink("https://www.diodes.com/assets/Datasheets/BAS19W-BAS21W.pdf","BAS21W Datasheet")</f>
        <v>BAS21W Datasheet</v>
      </c>
      <c r="C63" t="s">
        <v>32</v>
      </c>
      <c r="D63" t="s">
        <v>33</v>
      </c>
      <c r="E63" t="s">
        <v>34</v>
      </c>
      <c r="F63" t="s">
        <v>35</v>
      </c>
      <c r="G63" t="s">
        <v>36</v>
      </c>
      <c r="H63">
        <v>200</v>
      </c>
      <c r="I63" t="s">
        <v>33</v>
      </c>
      <c r="J63">
        <v>250</v>
      </c>
      <c r="K63">
        <v>50</v>
      </c>
      <c r="L63">
        <v>200</v>
      </c>
      <c r="M63">
        <v>2.5</v>
      </c>
      <c r="N63">
        <v>1</v>
      </c>
      <c r="O63">
        <v>0.1</v>
      </c>
      <c r="Q63">
        <v>5</v>
      </c>
      <c r="S63">
        <v>1</v>
      </c>
      <c r="U63">
        <v>250</v>
      </c>
      <c r="V63">
        <v>50</v>
      </c>
      <c r="W63">
        <v>250</v>
      </c>
      <c r="AB63" t="s">
        <v>106</v>
      </c>
      <c r="AD63">
        <v>5</v>
      </c>
      <c r="AF63" t="s">
        <v>97</v>
      </c>
    </row>
    <row r="64" spans="1:32">
      <c r="A64" t="str">
        <f>Hyperlink("https://www.diodes.com/part/view/BAS21WQ","BAS21WQ")</f>
        <v>BAS21WQ</v>
      </c>
      <c r="B64" t="str">
        <f>Hyperlink("https://www.diodes.com/assets/Datasheets/BAS21WQ.pdf","BAS21WQ Datasheet")</f>
        <v>BAS21WQ Datasheet</v>
      </c>
      <c r="C64" t="s">
        <v>111</v>
      </c>
      <c r="D64" t="s">
        <v>39</v>
      </c>
      <c r="E64" t="s">
        <v>40</v>
      </c>
      <c r="F64" t="s">
        <v>35</v>
      </c>
      <c r="G64" t="s">
        <v>36</v>
      </c>
      <c r="H64">
        <v>200</v>
      </c>
      <c r="I64" t="s">
        <v>33</v>
      </c>
      <c r="J64">
        <v>250</v>
      </c>
      <c r="K64">
        <v>50</v>
      </c>
      <c r="L64">
        <v>200</v>
      </c>
      <c r="M64">
        <v>2.5</v>
      </c>
      <c r="N64" t="s">
        <v>112</v>
      </c>
      <c r="O64">
        <v>0.1</v>
      </c>
      <c r="Q64">
        <v>5</v>
      </c>
      <c r="S64">
        <v>1</v>
      </c>
      <c r="U64">
        <v>200</v>
      </c>
      <c r="V64">
        <v>50</v>
      </c>
      <c r="W64">
        <v>200</v>
      </c>
      <c r="AB64" t="s">
        <v>104</v>
      </c>
      <c r="AD64">
        <v>5</v>
      </c>
      <c r="AF64" t="s">
        <v>97</v>
      </c>
    </row>
    <row r="65" spans="1:32">
      <c r="A65" t="str">
        <f>Hyperlink("https://www.diodes.com/part/view/BAS28","BAS28")</f>
        <v>BAS28</v>
      </c>
      <c r="B65" t="str">
        <f>Hyperlink("https://www.diodes.com/assets/Datasheets/BAS28.pdf","BAS28 Datasheet")</f>
        <v>BAS28 Datasheet</v>
      </c>
      <c r="C65" t="s">
        <v>113</v>
      </c>
      <c r="D65" t="s">
        <v>33</v>
      </c>
      <c r="E65" t="s">
        <v>34</v>
      </c>
      <c r="F65" t="s">
        <v>61</v>
      </c>
      <c r="G65" t="s">
        <v>36</v>
      </c>
      <c r="H65">
        <v>250</v>
      </c>
      <c r="I65" t="s">
        <v>33</v>
      </c>
      <c r="J65">
        <v>85</v>
      </c>
      <c r="K65">
        <v>4</v>
      </c>
      <c r="L65">
        <v>215</v>
      </c>
      <c r="M65">
        <v>4</v>
      </c>
      <c r="N65" t="s">
        <v>77</v>
      </c>
      <c r="O65">
        <v>1</v>
      </c>
      <c r="Q65">
        <v>1.5</v>
      </c>
      <c r="S65">
        <v>1</v>
      </c>
      <c r="U65">
        <v>85</v>
      </c>
      <c r="V65">
        <v>4</v>
      </c>
      <c r="W65">
        <v>85</v>
      </c>
      <c r="AD65">
        <v>1.5</v>
      </c>
      <c r="AF65" t="s">
        <v>114</v>
      </c>
    </row>
    <row r="66" spans="1:32">
      <c r="A66" t="str">
        <f>Hyperlink("https://www.diodes.com/part/view/BAS28Q","BAS28Q")</f>
        <v>BAS28Q</v>
      </c>
      <c r="B66" t="str">
        <f>Hyperlink("https://www.diodes.com/assets/Datasheets/BAS28Q.pdf","BAS28Q Datasheet")</f>
        <v>BAS28Q Datasheet</v>
      </c>
      <c r="C66" t="s">
        <v>113</v>
      </c>
      <c r="D66" t="s">
        <v>39</v>
      </c>
      <c r="E66" t="s">
        <v>40</v>
      </c>
      <c r="F66" t="s">
        <v>61</v>
      </c>
      <c r="G66" t="s">
        <v>36</v>
      </c>
      <c r="H66">
        <v>250</v>
      </c>
      <c r="I66" t="s">
        <v>33</v>
      </c>
      <c r="J66">
        <v>85</v>
      </c>
      <c r="K66">
        <v>4</v>
      </c>
      <c r="L66">
        <v>215</v>
      </c>
      <c r="M66">
        <v>4</v>
      </c>
      <c r="N66" t="s">
        <v>77</v>
      </c>
      <c r="O66">
        <v>1</v>
      </c>
      <c r="Q66">
        <v>1.5</v>
      </c>
      <c r="S66">
        <v>1</v>
      </c>
      <c r="U66">
        <v>85</v>
      </c>
      <c r="V66">
        <v>4</v>
      </c>
      <c r="W66">
        <v>85</v>
      </c>
      <c r="AD66">
        <v>1.5</v>
      </c>
      <c r="AF66" t="s">
        <v>114</v>
      </c>
    </row>
    <row r="67" spans="1:32">
      <c r="A67" t="str">
        <f>Hyperlink("https://www.diodes.com/part/view/BAS299","BAS299")</f>
        <v>BAS299</v>
      </c>
      <c r="B67" t="str">
        <f>Hyperlink("https://www.diodes.com/assets/Datasheets/BAS299.pdf","BAS299 Datasheet")</f>
        <v>BAS299 Datasheet</v>
      </c>
      <c r="C67" t="s">
        <v>115</v>
      </c>
      <c r="D67" t="s">
        <v>39</v>
      </c>
      <c r="E67" t="s">
        <v>34</v>
      </c>
      <c r="F67" t="s">
        <v>116</v>
      </c>
      <c r="G67" t="s">
        <v>36</v>
      </c>
      <c r="H67">
        <v>300</v>
      </c>
      <c r="I67" t="s">
        <v>33</v>
      </c>
      <c r="J67">
        <v>100</v>
      </c>
      <c r="K67">
        <v>6</v>
      </c>
      <c r="M67">
        <v>9</v>
      </c>
      <c r="N67" t="s">
        <v>72</v>
      </c>
      <c r="O67">
        <v>1</v>
      </c>
      <c r="Q67">
        <v>1.5</v>
      </c>
      <c r="U67">
        <v>100</v>
      </c>
      <c r="V67">
        <v>6</v>
      </c>
      <c r="W67" t="s">
        <v>117</v>
      </c>
      <c r="X67">
        <v>0.715</v>
      </c>
      <c r="AD67">
        <v>1.5</v>
      </c>
      <c r="AF67" t="s">
        <v>65</v>
      </c>
    </row>
    <row r="68" spans="1:32">
      <c r="A68" t="str">
        <f>Hyperlink("https://www.diodes.com/part/view/BAS516%28LS%29","BAS516(LS)")</f>
        <v>BAS516(LS)</v>
      </c>
      <c r="B68" t="str">
        <f>Hyperlink("https://www.diodes.com/assets/Datasheets/BAS516_LS.pdf","BAS516(LS) Datasheet")</f>
        <v>BAS516(LS) Datasheet</v>
      </c>
      <c r="C68" t="s">
        <v>118</v>
      </c>
      <c r="D68" t="s">
        <v>33</v>
      </c>
      <c r="E68" t="s">
        <v>34</v>
      </c>
      <c r="F68" t="s">
        <v>35</v>
      </c>
      <c r="G68" t="s">
        <v>36</v>
      </c>
      <c r="H68">
        <v>500</v>
      </c>
      <c r="I68" t="s">
        <v>33</v>
      </c>
      <c r="J68">
        <v>75</v>
      </c>
      <c r="K68">
        <v>4</v>
      </c>
      <c r="L68">
        <v>250</v>
      </c>
      <c r="M68">
        <v>0.5</v>
      </c>
      <c r="N68">
        <v>150</v>
      </c>
      <c r="O68">
        <v>1</v>
      </c>
      <c r="U68">
        <v>75</v>
      </c>
      <c r="V68">
        <v>4</v>
      </c>
      <c r="W68">
        <v>75</v>
      </c>
      <c r="AB68" t="s">
        <v>70</v>
      </c>
      <c r="AD68">
        <v>1</v>
      </c>
      <c r="AF68" t="s">
        <v>63</v>
      </c>
    </row>
    <row r="69" spans="1:32">
      <c r="A69" t="str">
        <f>Hyperlink("https://www.diodes.com/part/view/BAS521","BAS521")</f>
        <v>BAS521</v>
      </c>
      <c r="B69" t="str">
        <f>Hyperlink("https://www.diodes.com/assets/Datasheets/ds32175.pdf","BAS521 Datasheet")</f>
        <v>BAS521 Datasheet</v>
      </c>
      <c r="C69" t="s">
        <v>54</v>
      </c>
      <c r="D69" t="s">
        <v>33</v>
      </c>
      <c r="E69" t="s">
        <v>34</v>
      </c>
      <c r="F69" t="s">
        <v>35</v>
      </c>
      <c r="G69" t="s">
        <v>36</v>
      </c>
      <c r="H69">
        <v>325</v>
      </c>
      <c r="I69" t="s">
        <v>33</v>
      </c>
      <c r="J69">
        <v>300</v>
      </c>
      <c r="K69">
        <v>50</v>
      </c>
      <c r="L69">
        <v>250</v>
      </c>
      <c r="M69">
        <v>4.5</v>
      </c>
      <c r="N69">
        <v>1.1</v>
      </c>
      <c r="O69">
        <v>0.15</v>
      </c>
      <c r="Q69">
        <v>5</v>
      </c>
      <c r="S69">
        <v>1</v>
      </c>
      <c r="U69">
        <v>300</v>
      </c>
      <c r="V69">
        <v>50</v>
      </c>
      <c r="W69">
        <v>300</v>
      </c>
      <c r="AB69" t="s">
        <v>119</v>
      </c>
      <c r="AD69">
        <v>5</v>
      </c>
      <c r="AF69" t="s">
        <v>50</v>
      </c>
    </row>
    <row r="70" spans="1:32">
      <c r="A70" t="str">
        <f>Hyperlink("https://www.diodes.com/part/view/BAS521Q","BAS521Q")</f>
        <v>BAS521Q</v>
      </c>
      <c r="B70" t="str">
        <f>Hyperlink("https://www.diodes.com/assets/Datasheets/BAS521Q.pdf","BAS521Q Datasheet")</f>
        <v>BAS521Q Datasheet</v>
      </c>
      <c r="C70" t="s">
        <v>120</v>
      </c>
      <c r="D70" t="s">
        <v>39</v>
      </c>
      <c r="E70" t="s">
        <v>40</v>
      </c>
      <c r="F70" t="s">
        <v>35</v>
      </c>
      <c r="G70" t="s">
        <v>36</v>
      </c>
      <c r="H70">
        <v>325</v>
      </c>
      <c r="I70" t="s">
        <v>33</v>
      </c>
      <c r="J70">
        <v>300</v>
      </c>
      <c r="K70">
        <v>50</v>
      </c>
      <c r="L70">
        <v>250</v>
      </c>
      <c r="M70">
        <v>4.5</v>
      </c>
      <c r="N70">
        <v>1.1</v>
      </c>
      <c r="O70">
        <v>0.15</v>
      </c>
      <c r="Q70">
        <v>5</v>
      </c>
      <c r="S70">
        <v>1</v>
      </c>
      <c r="U70">
        <v>300</v>
      </c>
      <c r="V70">
        <v>50</v>
      </c>
      <c r="W70">
        <v>300</v>
      </c>
      <c r="AB70" t="s">
        <v>119</v>
      </c>
      <c r="AD70">
        <v>5</v>
      </c>
      <c r="AF70" t="s">
        <v>50</v>
      </c>
    </row>
    <row r="71" spans="1:32">
      <c r="A71" t="str">
        <f>Hyperlink("https://www.diodes.com/part/view/BAV116HWF","BAV116HWF")</f>
        <v>BAV116HWF</v>
      </c>
      <c r="B71" t="str">
        <f>Hyperlink("https://www.diodes.com/assets/Datasheets/BAV116HWF.pdf","BAV116HWF Datasheet")</f>
        <v>BAV116HWF Datasheet</v>
      </c>
      <c r="C71" t="s">
        <v>121</v>
      </c>
      <c r="D71" t="s">
        <v>39</v>
      </c>
      <c r="E71" t="s">
        <v>34</v>
      </c>
      <c r="F71" t="s">
        <v>35</v>
      </c>
      <c r="G71" t="s">
        <v>36</v>
      </c>
      <c r="H71">
        <v>375</v>
      </c>
      <c r="I71" t="s">
        <v>33</v>
      </c>
      <c r="J71">
        <v>85</v>
      </c>
      <c r="K71">
        <v>3000</v>
      </c>
      <c r="L71">
        <v>215</v>
      </c>
      <c r="M71">
        <v>4</v>
      </c>
      <c r="N71" t="s">
        <v>122</v>
      </c>
      <c r="O71">
        <v>0.005</v>
      </c>
      <c r="Q71">
        <v>2</v>
      </c>
      <c r="S71">
        <v>1</v>
      </c>
      <c r="U71">
        <v>85</v>
      </c>
      <c r="V71">
        <v>3000</v>
      </c>
      <c r="W71">
        <v>75</v>
      </c>
      <c r="AB71" t="s">
        <v>123</v>
      </c>
      <c r="AD71">
        <v>2</v>
      </c>
      <c r="AF71" t="s">
        <v>124</v>
      </c>
    </row>
    <row r="72" spans="1:32">
      <c r="A72" t="str">
        <f>Hyperlink("https://www.diodes.com/part/view/BAV116HWFQ","BAV116HWFQ")</f>
        <v>BAV116HWFQ</v>
      </c>
      <c r="B72" t="str">
        <f>Hyperlink("https://www.diodes.com/assets/Datasheets/BAV116HWFQ.pdf","BAV116HWFQ Datasheet")</f>
        <v>BAV116HWFQ Datasheet</v>
      </c>
      <c r="C72" t="s">
        <v>121</v>
      </c>
      <c r="D72" t="s">
        <v>39</v>
      </c>
      <c r="E72" t="s">
        <v>40</v>
      </c>
      <c r="F72" t="s">
        <v>35</v>
      </c>
      <c r="G72" t="s">
        <v>36</v>
      </c>
      <c r="H72">
        <v>375</v>
      </c>
      <c r="I72" t="s">
        <v>33</v>
      </c>
      <c r="J72">
        <v>85</v>
      </c>
      <c r="K72">
        <v>3000</v>
      </c>
      <c r="L72">
        <v>215</v>
      </c>
      <c r="M72">
        <v>4</v>
      </c>
      <c r="N72" t="s">
        <v>122</v>
      </c>
      <c r="O72">
        <v>0.005</v>
      </c>
      <c r="Q72">
        <v>2</v>
      </c>
      <c r="S72">
        <v>1</v>
      </c>
      <c r="U72">
        <v>85</v>
      </c>
      <c r="V72">
        <v>3000</v>
      </c>
      <c r="W72">
        <v>75</v>
      </c>
      <c r="AB72" t="s">
        <v>123</v>
      </c>
      <c r="AD72">
        <v>2</v>
      </c>
      <c r="AF72" t="s">
        <v>124</v>
      </c>
    </row>
    <row r="73" spans="1:32">
      <c r="A73" t="str">
        <f>Hyperlink("https://www.diodes.com/part/view/BAV116T","BAV116T")</f>
        <v>BAV116T</v>
      </c>
      <c r="B73" t="str">
        <f>Hyperlink("https://www.diodes.com/assets/Datasheets/BAV116T.pdf","BAV116T Datasheet")</f>
        <v>BAV116T Datasheet</v>
      </c>
      <c r="C73" t="s">
        <v>125</v>
      </c>
      <c r="D73" t="s">
        <v>33</v>
      </c>
      <c r="E73" t="s">
        <v>34</v>
      </c>
      <c r="F73" t="s">
        <v>36</v>
      </c>
      <c r="G73" t="s">
        <v>36</v>
      </c>
      <c r="H73">
        <v>280</v>
      </c>
      <c r="I73" t="s">
        <v>33</v>
      </c>
      <c r="J73">
        <v>85</v>
      </c>
      <c r="K73">
        <v>3000</v>
      </c>
      <c r="L73">
        <v>100</v>
      </c>
      <c r="M73">
        <v>4</v>
      </c>
      <c r="N73" t="s">
        <v>126</v>
      </c>
      <c r="O73">
        <v>0.005</v>
      </c>
      <c r="Q73">
        <v>1.2</v>
      </c>
      <c r="S73">
        <v>1</v>
      </c>
      <c r="U73">
        <v>85</v>
      </c>
      <c r="V73">
        <v>3000</v>
      </c>
      <c r="W73">
        <v>75</v>
      </c>
      <c r="AB73" t="s">
        <v>123</v>
      </c>
      <c r="AD73">
        <v>2</v>
      </c>
      <c r="AF73" t="s">
        <v>50</v>
      </c>
    </row>
    <row r="74" spans="1:32">
      <c r="A74" t="str">
        <f>Hyperlink("https://www.diodes.com/part/view/BAV116W","BAV116W")</f>
        <v>BAV116W</v>
      </c>
      <c r="B74" t="str">
        <f>Hyperlink("https://www.diodes.com/assets/Datasheets/ds30291.pdf","BAV116W Datasheet")</f>
        <v>BAV116W Datasheet</v>
      </c>
      <c r="C74" t="s">
        <v>32</v>
      </c>
      <c r="D74" t="s">
        <v>33</v>
      </c>
      <c r="E74" t="s">
        <v>34</v>
      </c>
      <c r="F74" t="s">
        <v>35</v>
      </c>
      <c r="G74" t="s">
        <v>36</v>
      </c>
      <c r="H74">
        <v>250</v>
      </c>
      <c r="I74" t="s">
        <v>33</v>
      </c>
      <c r="J74">
        <v>130</v>
      </c>
      <c r="K74">
        <v>3000</v>
      </c>
      <c r="L74">
        <v>215</v>
      </c>
      <c r="M74">
        <v>4</v>
      </c>
      <c r="N74">
        <v>1.1</v>
      </c>
      <c r="O74">
        <v>0.005</v>
      </c>
      <c r="Q74">
        <v>5</v>
      </c>
      <c r="S74">
        <v>1</v>
      </c>
      <c r="U74">
        <v>130</v>
      </c>
      <c r="V74">
        <v>3000</v>
      </c>
      <c r="W74">
        <v>75</v>
      </c>
      <c r="AB74" t="s">
        <v>123</v>
      </c>
      <c r="AD74">
        <v>5</v>
      </c>
      <c r="AF74" t="s">
        <v>38</v>
      </c>
    </row>
    <row r="75" spans="1:32">
      <c r="A75" t="str">
        <f>Hyperlink("https://www.diodes.com/part/view/BAV116WQ","BAV116WQ")</f>
        <v>BAV116WQ</v>
      </c>
      <c r="B75" t="str">
        <f>Hyperlink("https://www.diodes.com/assets/Datasheets/BAV116WQ.pdf","BAV116WQ Datasheet")</f>
        <v>BAV116WQ Datasheet</v>
      </c>
      <c r="C75" t="s">
        <v>121</v>
      </c>
      <c r="D75" t="s">
        <v>39</v>
      </c>
      <c r="E75" t="s">
        <v>40</v>
      </c>
      <c r="F75" t="s">
        <v>35</v>
      </c>
      <c r="G75" t="s">
        <v>36</v>
      </c>
      <c r="H75">
        <v>200</v>
      </c>
      <c r="I75" t="s">
        <v>33</v>
      </c>
      <c r="J75">
        <v>130</v>
      </c>
      <c r="K75">
        <v>3000</v>
      </c>
      <c r="L75">
        <v>215</v>
      </c>
      <c r="M75">
        <v>4</v>
      </c>
      <c r="N75">
        <v>1.25</v>
      </c>
      <c r="O75">
        <v>0.005</v>
      </c>
      <c r="Q75">
        <v>5</v>
      </c>
      <c r="S75">
        <v>1</v>
      </c>
      <c r="U75">
        <v>130</v>
      </c>
      <c r="V75">
        <v>3000</v>
      </c>
      <c r="W75">
        <v>75</v>
      </c>
      <c r="X75">
        <v>0.9</v>
      </c>
      <c r="Y75">
        <v>1</v>
      </c>
      <c r="AB75" t="s">
        <v>123</v>
      </c>
      <c r="AD75">
        <v>5</v>
      </c>
      <c r="AF75" t="s">
        <v>38</v>
      </c>
    </row>
    <row r="76" spans="1:32">
      <c r="A76" t="str">
        <f>Hyperlink("https://www.diodes.com/part/view/BAV116WS","BAV116WS")</f>
        <v>BAV116WS</v>
      </c>
      <c r="B76" t="str">
        <f>Hyperlink("https://www.diodes.com/assets/Datasheets/BAV116WS2.pdf","BAV116WS Datasheet")</f>
        <v>BAV116WS Datasheet</v>
      </c>
      <c r="C76" t="s">
        <v>121</v>
      </c>
      <c r="D76" t="s">
        <v>33</v>
      </c>
      <c r="E76" t="s">
        <v>34</v>
      </c>
      <c r="F76" t="s">
        <v>35</v>
      </c>
      <c r="G76" t="s">
        <v>36</v>
      </c>
      <c r="H76">
        <v>200</v>
      </c>
      <c r="I76" t="s">
        <v>33</v>
      </c>
      <c r="J76">
        <v>85</v>
      </c>
      <c r="K76">
        <v>3000</v>
      </c>
      <c r="L76">
        <v>215</v>
      </c>
      <c r="M76">
        <v>4</v>
      </c>
      <c r="N76" t="s">
        <v>127</v>
      </c>
      <c r="O76">
        <v>0.005</v>
      </c>
      <c r="Q76">
        <v>0.9</v>
      </c>
      <c r="S76">
        <v>1</v>
      </c>
      <c r="U76">
        <v>85</v>
      </c>
      <c r="V76">
        <v>3000</v>
      </c>
      <c r="W76">
        <v>75</v>
      </c>
      <c r="AB76" t="s">
        <v>123</v>
      </c>
      <c r="AF76" t="s">
        <v>42</v>
      </c>
    </row>
    <row r="77" spans="1:32">
      <c r="A77" t="str">
        <f>Hyperlink("https://www.diodes.com/part/view/BAV116WSQ","BAV116WSQ")</f>
        <v>BAV116WSQ</v>
      </c>
      <c r="B77" t="str">
        <f>Hyperlink("https://www.diodes.com/assets/Datasheets/BAV116WSQ.pdf","BAV116WSQ Datasheet")</f>
        <v>BAV116WSQ Datasheet</v>
      </c>
      <c r="C77" t="s">
        <v>121</v>
      </c>
      <c r="D77" t="s">
        <v>39</v>
      </c>
      <c r="E77" t="s">
        <v>40</v>
      </c>
      <c r="F77" t="s">
        <v>36</v>
      </c>
      <c r="G77" t="s">
        <v>36</v>
      </c>
      <c r="H77">
        <v>200</v>
      </c>
      <c r="I77" t="s">
        <v>33</v>
      </c>
      <c r="J77">
        <v>85</v>
      </c>
      <c r="K77">
        <v>3000</v>
      </c>
      <c r="L77">
        <v>215</v>
      </c>
      <c r="M77">
        <v>4</v>
      </c>
      <c r="N77" t="s">
        <v>126</v>
      </c>
      <c r="O77">
        <v>0.005</v>
      </c>
      <c r="Q77">
        <v>1.5</v>
      </c>
      <c r="S77">
        <v>1</v>
      </c>
      <c r="U77">
        <v>85</v>
      </c>
      <c r="V77">
        <v>3000</v>
      </c>
      <c r="W77">
        <v>75</v>
      </c>
      <c r="AB77" t="s">
        <v>123</v>
      </c>
      <c r="AF77" t="s">
        <v>42</v>
      </c>
    </row>
    <row r="78" spans="1:32">
      <c r="A78" t="str">
        <f>Hyperlink("https://www.diodes.com/part/view/BAV16S92","BAV16S92")</f>
        <v>BAV16S92</v>
      </c>
      <c r="B78" t="str">
        <f>Hyperlink("https://www.diodes.com/assets/Datasheets/BAV16S92.pdf","BAV16S92 Datasheet")</f>
        <v>BAV16S92 Datasheet</v>
      </c>
      <c r="C78" t="s">
        <v>111</v>
      </c>
      <c r="D78" t="s">
        <v>33</v>
      </c>
      <c r="E78" t="s">
        <v>34</v>
      </c>
      <c r="F78" t="s">
        <v>35</v>
      </c>
      <c r="G78" t="s">
        <v>36</v>
      </c>
      <c r="H78">
        <v>200</v>
      </c>
      <c r="I78" t="s">
        <v>33</v>
      </c>
      <c r="J78">
        <v>75</v>
      </c>
      <c r="K78">
        <v>4</v>
      </c>
      <c r="L78">
        <v>150</v>
      </c>
      <c r="M78">
        <v>2</v>
      </c>
      <c r="N78" t="s">
        <v>86</v>
      </c>
      <c r="O78">
        <v>1</v>
      </c>
      <c r="Q78">
        <v>2</v>
      </c>
      <c r="S78">
        <v>1.09</v>
      </c>
      <c r="U78">
        <v>75</v>
      </c>
      <c r="V78">
        <v>4</v>
      </c>
      <c r="W78">
        <v>75</v>
      </c>
      <c r="AB78" t="s">
        <v>70</v>
      </c>
      <c r="AD78">
        <v>2</v>
      </c>
      <c r="AF78" t="s">
        <v>128</v>
      </c>
    </row>
    <row r="79" spans="1:32">
      <c r="A79" t="str">
        <f>Hyperlink("https://www.diodes.com/part/view/BAV16W","BAV16W")</f>
        <v>BAV16W</v>
      </c>
      <c r="B79" t="str">
        <f>Hyperlink("https://www.diodes.com/assets/Datasheets/BAV16W_1N4148W.pdf","BAV16W Datasheet")</f>
        <v>BAV16W Datasheet</v>
      </c>
      <c r="C79" t="s">
        <v>32</v>
      </c>
      <c r="D79" t="s">
        <v>39</v>
      </c>
      <c r="E79" t="s">
        <v>34</v>
      </c>
      <c r="F79" t="s">
        <v>35</v>
      </c>
      <c r="G79" t="s">
        <v>36</v>
      </c>
      <c r="H79">
        <v>400</v>
      </c>
      <c r="I79" t="s">
        <v>33</v>
      </c>
      <c r="J79">
        <v>100</v>
      </c>
      <c r="K79">
        <v>4</v>
      </c>
      <c r="L79">
        <v>150</v>
      </c>
      <c r="M79">
        <v>2</v>
      </c>
      <c r="N79">
        <v>1</v>
      </c>
      <c r="O79">
        <v>1</v>
      </c>
      <c r="Q79">
        <v>2</v>
      </c>
      <c r="S79">
        <v>1.09</v>
      </c>
      <c r="U79" t="s">
        <v>49</v>
      </c>
      <c r="V79">
        <v>4</v>
      </c>
      <c r="W79">
        <v>75</v>
      </c>
      <c r="AB79" t="s">
        <v>70</v>
      </c>
      <c r="AD79">
        <v>2</v>
      </c>
      <c r="AF79" t="s">
        <v>38</v>
      </c>
    </row>
    <row r="80" spans="1:32">
      <c r="A80" t="str">
        <f>Hyperlink("https://www.diodes.com/part/view/BAV16WS","BAV16WS")</f>
        <v>BAV16WS</v>
      </c>
      <c r="B80" t="str">
        <f>Hyperlink("https://www.diodes.com/assets/Datasheets/1N4148WS_BAV16WS.pdf","BAV16WS Datasheet")</f>
        <v>BAV16WS Datasheet</v>
      </c>
      <c r="C80" t="s">
        <v>32</v>
      </c>
      <c r="D80" t="s">
        <v>39</v>
      </c>
      <c r="E80" t="s">
        <v>34</v>
      </c>
      <c r="F80" t="s">
        <v>35</v>
      </c>
      <c r="G80" t="s">
        <v>36</v>
      </c>
      <c r="H80">
        <v>200</v>
      </c>
      <c r="I80" t="s">
        <v>33</v>
      </c>
      <c r="J80">
        <v>75</v>
      </c>
      <c r="K80">
        <v>4</v>
      </c>
      <c r="L80">
        <v>150</v>
      </c>
      <c r="M80">
        <v>2</v>
      </c>
      <c r="N80">
        <v>1</v>
      </c>
      <c r="O80">
        <v>1</v>
      </c>
      <c r="Q80">
        <v>2</v>
      </c>
      <c r="S80">
        <v>1.09</v>
      </c>
      <c r="U80">
        <v>85</v>
      </c>
      <c r="V80">
        <v>4</v>
      </c>
      <c r="W80">
        <v>75</v>
      </c>
      <c r="AB80" t="s">
        <v>70</v>
      </c>
      <c r="AD80">
        <v>2</v>
      </c>
      <c r="AF80" t="s">
        <v>42</v>
      </c>
    </row>
    <row r="81" spans="1:32">
      <c r="A81" t="str">
        <f>Hyperlink("https://www.diodes.com/part/view/BAV170","BAV170")</f>
        <v>BAV170</v>
      </c>
      <c r="B81" t="str">
        <f>Hyperlink("https://www.diodes.com/assets/Datasheets/ds30234.pdf","BAV170 Datasheet")</f>
        <v>BAV170 Datasheet</v>
      </c>
      <c r="C81" t="s">
        <v>32</v>
      </c>
      <c r="D81" t="s">
        <v>39</v>
      </c>
      <c r="E81" t="s">
        <v>34</v>
      </c>
      <c r="F81" t="s">
        <v>129</v>
      </c>
      <c r="G81" t="s">
        <v>36</v>
      </c>
      <c r="H81">
        <v>250</v>
      </c>
      <c r="I81" t="s">
        <v>33</v>
      </c>
      <c r="J81">
        <v>85</v>
      </c>
      <c r="K81">
        <v>3000</v>
      </c>
      <c r="L81">
        <v>215</v>
      </c>
      <c r="M81">
        <v>4</v>
      </c>
      <c r="N81">
        <v>1.1</v>
      </c>
      <c r="O81">
        <v>0.005</v>
      </c>
      <c r="Q81">
        <v>2</v>
      </c>
      <c r="S81">
        <v>1.27</v>
      </c>
      <c r="U81">
        <v>85</v>
      </c>
      <c r="V81">
        <v>3000</v>
      </c>
      <c r="W81">
        <v>75</v>
      </c>
      <c r="AB81" t="s">
        <v>123</v>
      </c>
      <c r="AF81" t="s">
        <v>65</v>
      </c>
    </row>
    <row r="82" spans="1:32">
      <c r="A82" t="str">
        <f>Hyperlink("https://www.diodes.com/part/view/BAV170T","BAV170T")</f>
        <v>BAV170T</v>
      </c>
      <c r="B82" t="str">
        <f>Hyperlink("https://www.diodes.com/assets/Datasheets/ds30258.pdf","BAV170T Datasheet")</f>
        <v>BAV170T Datasheet</v>
      </c>
      <c r="C82" t="s">
        <v>32</v>
      </c>
      <c r="D82" t="s">
        <v>39</v>
      </c>
      <c r="E82" t="s">
        <v>34</v>
      </c>
      <c r="F82" t="s">
        <v>129</v>
      </c>
      <c r="G82" t="s">
        <v>36</v>
      </c>
      <c r="H82">
        <v>150</v>
      </c>
      <c r="I82" t="s">
        <v>33</v>
      </c>
      <c r="J82">
        <v>85</v>
      </c>
      <c r="K82">
        <v>3000</v>
      </c>
      <c r="L82">
        <v>215</v>
      </c>
      <c r="M82">
        <v>4</v>
      </c>
      <c r="N82">
        <v>1.1</v>
      </c>
      <c r="O82">
        <v>0.005</v>
      </c>
      <c r="Q82">
        <v>2</v>
      </c>
      <c r="U82">
        <v>85</v>
      </c>
      <c r="V82">
        <v>3000</v>
      </c>
      <c r="W82">
        <v>75</v>
      </c>
      <c r="X82">
        <v>0.715</v>
      </c>
      <c r="Y82">
        <v>0.855</v>
      </c>
      <c r="AB82" t="s">
        <v>123</v>
      </c>
      <c r="AF82" t="s">
        <v>68</v>
      </c>
    </row>
    <row r="83" spans="1:32">
      <c r="A83" t="str">
        <f>Hyperlink("https://www.diodes.com/part/view/BAV199","BAV199")</f>
        <v>BAV199</v>
      </c>
      <c r="B83" t="str">
        <f>Hyperlink("https://www.diodes.com/assets/Datasheets/ds30232.pdf","BAV199 Datasheet")</f>
        <v>BAV199 Datasheet</v>
      </c>
      <c r="C83" t="s">
        <v>32</v>
      </c>
      <c r="D83" t="s">
        <v>39</v>
      </c>
      <c r="E83" t="s">
        <v>34</v>
      </c>
      <c r="F83" t="s">
        <v>116</v>
      </c>
      <c r="G83" t="s">
        <v>36</v>
      </c>
      <c r="H83">
        <v>250</v>
      </c>
      <c r="I83" t="s">
        <v>33</v>
      </c>
      <c r="J83">
        <v>85</v>
      </c>
      <c r="K83">
        <v>3000</v>
      </c>
      <c r="L83">
        <v>160</v>
      </c>
      <c r="M83">
        <v>4</v>
      </c>
      <c r="N83">
        <v>1.1</v>
      </c>
      <c r="O83">
        <v>0.005</v>
      </c>
      <c r="Q83">
        <v>2</v>
      </c>
      <c r="U83">
        <v>85</v>
      </c>
      <c r="V83">
        <v>3000</v>
      </c>
      <c r="W83">
        <v>75</v>
      </c>
      <c r="X83">
        <v>0.715</v>
      </c>
      <c r="Y83">
        <v>0.855</v>
      </c>
      <c r="AB83" t="s">
        <v>123</v>
      </c>
      <c r="AF83" t="s">
        <v>65</v>
      </c>
    </row>
    <row r="84" spans="1:32">
      <c r="A84" t="str">
        <f>Hyperlink("https://www.diodes.com/part/view/BAV199DW","BAV199DW")</f>
        <v>BAV199DW</v>
      </c>
      <c r="B84" t="str">
        <f>Hyperlink("https://www.diodes.com/assets/Datasheets/ds30417.pdf","BAV199DW Datasheet")</f>
        <v>BAV199DW Datasheet</v>
      </c>
      <c r="C84" t="s">
        <v>32</v>
      </c>
      <c r="D84" t="s">
        <v>33</v>
      </c>
      <c r="E84" t="s">
        <v>34</v>
      </c>
      <c r="F84" t="s">
        <v>130</v>
      </c>
      <c r="G84" t="s">
        <v>36</v>
      </c>
      <c r="H84">
        <v>200</v>
      </c>
      <c r="I84" t="s">
        <v>33</v>
      </c>
      <c r="J84">
        <v>85</v>
      </c>
      <c r="K84">
        <v>3000</v>
      </c>
      <c r="L84">
        <v>160</v>
      </c>
      <c r="M84">
        <v>4</v>
      </c>
      <c r="N84">
        <v>1.1</v>
      </c>
      <c r="O84">
        <v>0.005</v>
      </c>
      <c r="Q84">
        <v>2</v>
      </c>
      <c r="U84">
        <v>85</v>
      </c>
      <c r="V84">
        <v>3000</v>
      </c>
      <c r="W84">
        <v>75</v>
      </c>
      <c r="X84">
        <v>0.715</v>
      </c>
      <c r="Y84">
        <v>0.855</v>
      </c>
      <c r="AB84" t="s">
        <v>123</v>
      </c>
      <c r="AF84" t="s">
        <v>79</v>
      </c>
    </row>
    <row r="85" spans="1:32">
      <c r="A85" t="str">
        <f>Hyperlink("https://www.diodes.com/part/view/BAV199DWQ","BAV199DWQ")</f>
        <v>BAV199DWQ</v>
      </c>
      <c r="B85" t="str">
        <f>Hyperlink("https://www.diodes.com/assets/Datasheets/BAV199DWQ.pdf","BAV199DWQ Datasheet")</f>
        <v>BAV199DWQ Datasheet</v>
      </c>
      <c r="C85" t="s">
        <v>131</v>
      </c>
      <c r="D85" t="s">
        <v>39</v>
      </c>
      <c r="E85" t="s">
        <v>40</v>
      </c>
      <c r="F85" t="s">
        <v>130</v>
      </c>
      <c r="G85" t="s">
        <v>36</v>
      </c>
      <c r="H85">
        <v>200</v>
      </c>
      <c r="I85" t="s">
        <v>33</v>
      </c>
      <c r="J85">
        <v>85</v>
      </c>
      <c r="K85">
        <v>3000</v>
      </c>
      <c r="L85">
        <v>160</v>
      </c>
      <c r="M85">
        <v>4</v>
      </c>
      <c r="N85" t="s">
        <v>66</v>
      </c>
      <c r="O85">
        <v>0.005</v>
      </c>
      <c r="Q85">
        <v>1.5</v>
      </c>
      <c r="U85">
        <v>85</v>
      </c>
      <c r="V85">
        <v>3000</v>
      </c>
      <c r="W85">
        <v>75</v>
      </c>
      <c r="X85">
        <v>0.715</v>
      </c>
      <c r="Y85">
        <v>0.855</v>
      </c>
      <c r="AB85" t="s">
        <v>123</v>
      </c>
      <c r="AD85">
        <v>1.5</v>
      </c>
      <c r="AF85" t="s">
        <v>79</v>
      </c>
    </row>
    <row r="86" spans="1:32">
      <c r="A86" t="str">
        <f>Hyperlink("https://www.diodes.com/part/view/BAV199T","BAV199T")</f>
        <v>BAV199T</v>
      </c>
      <c r="B86" t="str">
        <f>Hyperlink("https://www.diodes.com/assets/Datasheets/ds30258.pdf","BAV199T Datasheet")</f>
        <v>BAV199T Datasheet</v>
      </c>
      <c r="C86" t="s">
        <v>32</v>
      </c>
      <c r="D86" t="s">
        <v>39</v>
      </c>
      <c r="E86" t="s">
        <v>34</v>
      </c>
      <c r="F86" t="s">
        <v>116</v>
      </c>
      <c r="G86" t="s">
        <v>36</v>
      </c>
      <c r="H86">
        <v>150</v>
      </c>
      <c r="I86" t="s">
        <v>33</v>
      </c>
      <c r="J86">
        <v>85</v>
      </c>
      <c r="K86">
        <v>3000</v>
      </c>
      <c r="L86">
        <v>215</v>
      </c>
      <c r="M86">
        <v>4</v>
      </c>
      <c r="N86">
        <v>1.1</v>
      </c>
      <c r="O86">
        <v>0.005</v>
      </c>
      <c r="Q86">
        <v>2</v>
      </c>
      <c r="U86">
        <v>85</v>
      </c>
      <c r="V86">
        <v>3000</v>
      </c>
      <c r="W86">
        <v>75</v>
      </c>
      <c r="X86">
        <v>0.715</v>
      </c>
      <c r="Y86">
        <v>0.855</v>
      </c>
      <c r="AB86" t="s">
        <v>123</v>
      </c>
      <c r="AF86" t="s">
        <v>68</v>
      </c>
    </row>
    <row r="87" spans="1:32">
      <c r="A87" t="str">
        <f>Hyperlink("https://www.diodes.com/part/view/BAV199TQ","BAV199TQ")</f>
        <v>BAV199TQ</v>
      </c>
      <c r="B87" t="str">
        <f>Hyperlink("https://www.diodes.com/assets/Datasheets/BAV199TQ.pdf","BAV199TQ Datasheet")</f>
        <v>BAV199TQ Datasheet</v>
      </c>
      <c r="C87" t="s">
        <v>121</v>
      </c>
      <c r="D87" t="s">
        <v>39</v>
      </c>
      <c r="E87" t="s">
        <v>40</v>
      </c>
      <c r="F87" t="s">
        <v>116</v>
      </c>
      <c r="G87" t="s">
        <v>36</v>
      </c>
      <c r="H87">
        <v>150</v>
      </c>
      <c r="I87" t="s">
        <v>33</v>
      </c>
      <c r="J87">
        <v>85</v>
      </c>
      <c r="K87">
        <v>3000</v>
      </c>
      <c r="L87">
        <v>215</v>
      </c>
      <c r="M87">
        <v>4</v>
      </c>
      <c r="N87" t="s">
        <v>132</v>
      </c>
      <c r="O87">
        <v>0.005</v>
      </c>
      <c r="Q87">
        <v>2</v>
      </c>
      <c r="U87">
        <v>85</v>
      </c>
      <c r="V87">
        <v>3000</v>
      </c>
      <c r="W87">
        <v>75</v>
      </c>
      <c r="X87">
        <v>0.9</v>
      </c>
      <c r="Y87">
        <v>1</v>
      </c>
      <c r="AB87" t="s">
        <v>123</v>
      </c>
      <c r="AD87">
        <v>2</v>
      </c>
      <c r="AF87" t="s">
        <v>68</v>
      </c>
    </row>
    <row r="88" spans="1:32">
      <c r="A88" t="str">
        <f>Hyperlink("https://www.diodes.com/part/view/BAV199W","BAV199W")</f>
        <v>BAV199W</v>
      </c>
      <c r="B88" t="str">
        <f>Hyperlink("https://www.diodes.com/assets/Datasheets/ds30462.pdf","BAV199W Datasheet")</f>
        <v>BAV199W Datasheet</v>
      </c>
      <c r="C88" t="s">
        <v>32</v>
      </c>
      <c r="D88" t="s">
        <v>39</v>
      </c>
      <c r="E88" t="s">
        <v>34</v>
      </c>
      <c r="F88" t="s">
        <v>116</v>
      </c>
      <c r="G88" t="s">
        <v>36</v>
      </c>
      <c r="H88">
        <v>200</v>
      </c>
      <c r="I88" t="s">
        <v>33</v>
      </c>
      <c r="J88">
        <v>85</v>
      </c>
      <c r="K88">
        <v>3000</v>
      </c>
      <c r="L88">
        <v>160</v>
      </c>
      <c r="M88">
        <v>4</v>
      </c>
      <c r="N88">
        <v>1.1</v>
      </c>
      <c r="O88">
        <v>0.005</v>
      </c>
      <c r="Q88">
        <v>2</v>
      </c>
      <c r="U88">
        <v>85</v>
      </c>
      <c r="V88">
        <v>3000</v>
      </c>
      <c r="W88">
        <v>75</v>
      </c>
      <c r="X88">
        <v>0.715</v>
      </c>
      <c r="Y88">
        <v>0.855</v>
      </c>
      <c r="AB88" t="s">
        <v>123</v>
      </c>
      <c r="AF88" t="s">
        <v>97</v>
      </c>
    </row>
    <row r="89" spans="1:32">
      <c r="A89" t="str">
        <f>Hyperlink("https://www.diodes.com/part/view/BAV199WQ","BAV199WQ")</f>
        <v>BAV199WQ</v>
      </c>
      <c r="B89" t="str">
        <f>Hyperlink("https://www.diodes.com/assets/Datasheets/BAV199WQ.pdf","BAV199WQ Datasheet")</f>
        <v>BAV199WQ Datasheet</v>
      </c>
      <c r="C89" t="s">
        <v>133</v>
      </c>
      <c r="D89" t="s">
        <v>39</v>
      </c>
      <c r="E89" t="s">
        <v>40</v>
      </c>
      <c r="F89" t="s">
        <v>116</v>
      </c>
      <c r="G89" t="s">
        <v>36</v>
      </c>
      <c r="H89">
        <v>200</v>
      </c>
      <c r="I89" t="s">
        <v>33</v>
      </c>
      <c r="J89">
        <v>85</v>
      </c>
      <c r="K89">
        <v>3000</v>
      </c>
      <c r="L89">
        <v>160</v>
      </c>
      <c r="M89">
        <v>4</v>
      </c>
      <c r="N89" t="s">
        <v>126</v>
      </c>
      <c r="O89">
        <v>0.005</v>
      </c>
      <c r="Q89">
        <v>2</v>
      </c>
      <c r="U89">
        <v>85</v>
      </c>
      <c r="V89">
        <v>3000</v>
      </c>
      <c r="W89">
        <v>75</v>
      </c>
      <c r="X89">
        <v>0.715</v>
      </c>
      <c r="Y89">
        <v>0.855</v>
      </c>
      <c r="AB89" t="s">
        <v>123</v>
      </c>
      <c r="AD89">
        <v>2</v>
      </c>
      <c r="AF89" t="s">
        <v>97</v>
      </c>
    </row>
    <row r="90" spans="1:32">
      <c r="A90" t="str">
        <f>Hyperlink("https://www.diodes.com/part/view/BAV19W","BAV19W")</f>
        <v>BAV19W</v>
      </c>
      <c r="B90" t="str">
        <f>Hyperlink("https://www.diodes.com/assets/Datasheets/BAV19W-BAV21W.pdf","BAV19W-BAV21W Datasheet")</f>
        <v>BAV19W-BAV21W Datasheet</v>
      </c>
      <c r="C90" t="s">
        <v>32</v>
      </c>
      <c r="D90" t="s">
        <v>39</v>
      </c>
      <c r="E90" t="s">
        <v>34</v>
      </c>
      <c r="F90" t="s">
        <v>35</v>
      </c>
      <c r="G90" t="s">
        <v>36</v>
      </c>
      <c r="H90">
        <v>250</v>
      </c>
      <c r="I90" t="s">
        <v>33</v>
      </c>
      <c r="J90">
        <v>100</v>
      </c>
      <c r="K90">
        <v>50</v>
      </c>
      <c r="L90">
        <v>200</v>
      </c>
      <c r="M90">
        <v>2.5</v>
      </c>
      <c r="N90">
        <v>1</v>
      </c>
      <c r="O90">
        <v>0.1</v>
      </c>
      <c r="Q90">
        <v>5</v>
      </c>
      <c r="U90">
        <v>120</v>
      </c>
      <c r="V90">
        <v>50</v>
      </c>
      <c r="W90">
        <v>120</v>
      </c>
      <c r="X90">
        <v>0.715</v>
      </c>
      <c r="Y90">
        <v>0.855</v>
      </c>
      <c r="AB90" t="s">
        <v>134</v>
      </c>
      <c r="AD90">
        <v>5</v>
      </c>
      <c r="AF90" t="s">
        <v>38</v>
      </c>
    </row>
    <row r="91" spans="1:32">
      <c r="A91" t="str">
        <f>Hyperlink("https://www.diodes.com/part/view/BAV19WS","BAV19WS")</f>
        <v>BAV19WS</v>
      </c>
      <c r="B91" t="str">
        <f>Hyperlink("https://www.diodes.com/assets/Datasheets/BAV19WS-BAV21WS.pdf","BAV19WS Datasheet")</f>
        <v>BAV19WS Datasheet</v>
      </c>
      <c r="C91" t="s">
        <v>32</v>
      </c>
      <c r="D91" t="s">
        <v>39</v>
      </c>
      <c r="E91" t="s">
        <v>34</v>
      </c>
      <c r="F91" t="s">
        <v>35</v>
      </c>
      <c r="G91" t="s">
        <v>36</v>
      </c>
      <c r="H91">
        <v>200</v>
      </c>
      <c r="I91" t="s">
        <v>33</v>
      </c>
      <c r="J91">
        <v>100</v>
      </c>
      <c r="K91">
        <v>50</v>
      </c>
      <c r="L91">
        <v>200</v>
      </c>
      <c r="M91">
        <v>2.5</v>
      </c>
      <c r="N91">
        <v>1</v>
      </c>
      <c r="O91">
        <v>0.1</v>
      </c>
      <c r="Q91">
        <v>5</v>
      </c>
      <c r="U91">
        <v>120</v>
      </c>
      <c r="V91">
        <v>50</v>
      </c>
      <c r="W91">
        <v>100</v>
      </c>
      <c r="X91">
        <v>0.715</v>
      </c>
      <c r="Y91">
        <v>0.855</v>
      </c>
      <c r="AB91" t="s">
        <v>134</v>
      </c>
      <c r="AD91">
        <v>5</v>
      </c>
      <c r="AF91" t="s">
        <v>42</v>
      </c>
    </row>
    <row r="92" spans="1:32">
      <c r="A92" t="str">
        <f>Hyperlink("https://www.diodes.com/part/view/BAV20W","BAV20W")</f>
        <v>BAV20W</v>
      </c>
      <c r="B92" t="str">
        <f>Hyperlink("https://www.diodes.com/assets/Datasheets/BAV19W-BAV21W.pdf","BAV19W-BAV21W Datasheet")</f>
        <v>BAV19W-BAV21W Datasheet</v>
      </c>
      <c r="C92" t="s">
        <v>32</v>
      </c>
      <c r="D92" t="s">
        <v>39</v>
      </c>
      <c r="E92" t="s">
        <v>34</v>
      </c>
      <c r="F92" t="s">
        <v>35</v>
      </c>
      <c r="G92" t="s">
        <v>36</v>
      </c>
      <c r="H92">
        <v>250</v>
      </c>
      <c r="I92" t="s">
        <v>33</v>
      </c>
      <c r="J92">
        <v>150</v>
      </c>
      <c r="K92">
        <v>50</v>
      </c>
      <c r="L92">
        <v>200</v>
      </c>
      <c r="M92">
        <v>2.5</v>
      </c>
      <c r="N92">
        <v>1</v>
      </c>
      <c r="O92">
        <v>0.1</v>
      </c>
      <c r="Q92">
        <v>5</v>
      </c>
      <c r="U92">
        <v>200</v>
      </c>
      <c r="V92">
        <v>50</v>
      </c>
      <c r="W92">
        <v>200</v>
      </c>
      <c r="X92">
        <v>0.715</v>
      </c>
      <c r="Y92">
        <v>0.855</v>
      </c>
      <c r="AB92" t="s">
        <v>104</v>
      </c>
      <c r="AD92">
        <v>5</v>
      </c>
      <c r="AF92" t="s">
        <v>38</v>
      </c>
    </row>
    <row r="93" spans="1:32">
      <c r="A93" t="str">
        <f>Hyperlink("https://www.diodes.com/part/view/BAV20WS","BAV20WS")</f>
        <v>BAV20WS</v>
      </c>
      <c r="B93" t="str">
        <f>Hyperlink("https://www.diodes.com/assets/Datasheets/BAV19WS-BAV21WS.pdf","BAV20WS Datasheet")</f>
        <v>BAV20WS Datasheet</v>
      </c>
      <c r="C93" t="s">
        <v>32</v>
      </c>
      <c r="D93" t="s">
        <v>39</v>
      </c>
      <c r="E93" t="s">
        <v>34</v>
      </c>
      <c r="F93" t="s">
        <v>35</v>
      </c>
      <c r="G93" t="s">
        <v>36</v>
      </c>
      <c r="H93">
        <v>200</v>
      </c>
      <c r="I93" t="s">
        <v>33</v>
      </c>
      <c r="J93">
        <v>150</v>
      </c>
      <c r="K93">
        <v>50</v>
      </c>
      <c r="L93">
        <v>200</v>
      </c>
      <c r="M93">
        <v>2.5</v>
      </c>
      <c r="N93">
        <v>1</v>
      </c>
      <c r="O93">
        <v>0.1</v>
      </c>
      <c r="Q93">
        <v>5</v>
      </c>
      <c r="U93">
        <v>200</v>
      </c>
      <c r="V93">
        <v>50</v>
      </c>
      <c r="W93">
        <v>150</v>
      </c>
      <c r="X93">
        <v>0.715</v>
      </c>
      <c r="Y93">
        <v>0.855</v>
      </c>
      <c r="AB93" t="s">
        <v>104</v>
      </c>
      <c r="AD93">
        <v>5</v>
      </c>
      <c r="AF93" t="s">
        <v>42</v>
      </c>
    </row>
    <row r="94" spans="1:32">
      <c r="A94" t="str">
        <f>Hyperlink("https://www.diodes.com/part/view/BAV21HWF","BAV21HWF")</f>
        <v>BAV21HWF</v>
      </c>
      <c r="B94" t="str">
        <f>Hyperlink("https://www.diodes.com/assets/Datasheets/BAV21HWF.pdf","BAV21HWF Datasheet")</f>
        <v>BAV21HWF Datasheet</v>
      </c>
      <c r="C94" t="s">
        <v>135</v>
      </c>
      <c r="D94" t="s">
        <v>39</v>
      </c>
      <c r="E94" t="s">
        <v>34</v>
      </c>
      <c r="F94" t="s">
        <v>35</v>
      </c>
      <c r="G94" t="s">
        <v>36</v>
      </c>
      <c r="H94">
        <v>375</v>
      </c>
      <c r="I94" t="s">
        <v>33</v>
      </c>
      <c r="J94">
        <v>250</v>
      </c>
      <c r="K94">
        <v>50</v>
      </c>
      <c r="L94">
        <v>200</v>
      </c>
      <c r="M94">
        <v>9</v>
      </c>
      <c r="N94" t="s">
        <v>136</v>
      </c>
      <c r="O94">
        <v>0.1</v>
      </c>
      <c r="Q94">
        <v>5</v>
      </c>
      <c r="U94">
        <v>250</v>
      </c>
      <c r="V94">
        <v>50</v>
      </c>
      <c r="W94">
        <v>200</v>
      </c>
      <c r="X94">
        <v>0.715</v>
      </c>
      <c r="Y94">
        <v>0.855</v>
      </c>
      <c r="AB94" t="s">
        <v>106</v>
      </c>
      <c r="AD94">
        <v>5</v>
      </c>
      <c r="AF94" t="s">
        <v>124</v>
      </c>
    </row>
    <row r="95" spans="1:32">
      <c r="A95" t="str">
        <f>Hyperlink("https://www.diodes.com/part/view/BAV21HWFQ","BAV21HWFQ")</f>
        <v>BAV21HWFQ</v>
      </c>
      <c r="B95" t="str">
        <f>Hyperlink("https://www.diodes.com/assets/Datasheets/BAV21HWFQ.pdf","BAV21HWFQ Datasheet")</f>
        <v>BAV21HWFQ Datasheet</v>
      </c>
      <c r="C95" t="s">
        <v>121</v>
      </c>
      <c r="D95" t="s">
        <v>39</v>
      </c>
      <c r="E95" t="s">
        <v>40</v>
      </c>
      <c r="F95" t="s">
        <v>35</v>
      </c>
      <c r="G95" t="s">
        <v>137</v>
      </c>
      <c r="H95">
        <v>375</v>
      </c>
      <c r="I95" t="s">
        <v>33</v>
      </c>
      <c r="J95">
        <v>250</v>
      </c>
      <c r="K95">
        <v>50</v>
      </c>
      <c r="L95">
        <v>200</v>
      </c>
      <c r="M95">
        <v>9</v>
      </c>
      <c r="N95">
        <v>200</v>
      </c>
      <c r="O95">
        <v>0.1</v>
      </c>
      <c r="Q95">
        <v>5</v>
      </c>
      <c r="S95">
        <v>1</v>
      </c>
      <c r="U95">
        <v>250</v>
      </c>
      <c r="V95">
        <v>50</v>
      </c>
      <c r="W95">
        <v>200</v>
      </c>
      <c r="AD95">
        <v>5</v>
      </c>
      <c r="AF95" t="s">
        <v>124</v>
      </c>
    </row>
    <row r="96" spans="1:32">
      <c r="A96" t="str">
        <f>Hyperlink("https://www.diodes.com/part/view/BAV21W","BAV21W")</f>
        <v>BAV21W</v>
      </c>
      <c r="B96" t="str">
        <f>Hyperlink("https://www.diodes.com/assets/Datasheets/BAV19W-BAV21W.pdf","BAV19W-BAV21W Datasheet")</f>
        <v>BAV19W-BAV21W Datasheet</v>
      </c>
      <c r="C96" t="s">
        <v>32</v>
      </c>
      <c r="D96" t="s">
        <v>39</v>
      </c>
      <c r="E96" t="s">
        <v>34</v>
      </c>
      <c r="F96" t="s">
        <v>35</v>
      </c>
      <c r="G96" t="s">
        <v>36</v>
      </c>
      <c r="H96">
        <v>250</v>
      </c>
      <c r="I96" t="s">
        <v>33</v>
      </c>
      <c r="J96">
        <v>200</v>
      </c>
      <c r="K96">
        <v>50</v>
      </c>
      <c r="L96">
        <v>200</v>
      </c>
      <c r="M96">
        <v>2.5</v>
      </c>
      <c r="N96">
        <v>1</v>
      </c>
      <c r="O96">
        <v>0.1</v>
      </c>
      <c r="Q96">
        <v>5</v>
      </c>
      <c r="U96">
        <v>250</v>
      </c>
      <c r="V96">
        <v>50</v>
      </c>
      <c r="W96">
        <v>250</v>
      </c>
      <c r="X96">
        <v>0.715</v>
      </c>
      <c r="Y96">
        <v>0.855</v>
      </c>
      <c r="AB96" t="s">
        <v>106</v>
      </c>
      <c r="AD96">
        <v>5</v>
      </c>
      <c r="AF96" t="s">
        <v>38</v>
      </c>
    </row>
    <row r="97" spans="1:32">
      <c r="A97" t="str">
        <f>Hyperlink("https://www.diodes.com/part/view/BAV21W%28LS%29","BAV21W(LS)")</f>
        <v>BAV21W(LS)</v>
      </c>
      <c r="B97" t="str">
        <f>Hyperlink("https://www.diodes.com/assets/Datasheets/BAV21W_LS.pdf","BAV21W(LS) Datasheet")</f>
        <v>BAV21W(LS) Datasheet</v>
      </c>
      <c r="C97" t="s">
        <v>43</v>
      </c>
      <c r="D97" t="s">
        <v>33</v>
      </c>
      <c r="E97" t="s">
        <v>34</v>
      </c>
      <c r="F97" t="s">
        <v>35</v>
      </c>
      <c r="G97" t="s">
        <v>36</v>
      </c>
      <c r="H97">
        <v>250</v>
      </c>
      <c r="I97" t="s">
        <v>33</v>
      </c>
      <c r="J97">
        <v>250</v>
      </c>
      <c r="K97">
        <v>50</v>
      </c>
      <c r="L97">
        <v>200</v>
      </c>
      <c r="N97">
        <v>200</v>
      </c>
      <c r="O97">
        <v>100</v>
      </c>
      <c r="S97">
        <v>1.25</v>
      </c>
      <c r="U97">
        <v>250</v>
      </c>
      <c r="V97">
        <v>50</v>
      </c>
      <c r="W97">
        <v>250</v>
      </c>
      <c r="AB97" t="s">
        <v>99</v>
      </c>
      <c r="AD97">
        <v>5</v>
      </c>
      <c r="AF97" t="s">
        <v>138</v>
      </c>
    </row>
    <row r="98" spans="1:32">
      <c r="A98" t="str">
        <f>Hyperlink("https://www.diodes.com/part/view/BAV21WF%28LS%29","BAV21WF(LS)")</f>
        <v>BAV21WF(LS)</v>
      </c>
      <c r="B98" t="str">
        <f>Hyperlink("https://www.diodes.com/assets/Datasheets/BAV21WF_LS.pdf","BAV21WF(LS) Datasheet")</f>
        <v>BAV21WF(LS) Datasheet</v>
      </c>
      <c r="C98" t="s">
        <v>43</v>
      </c>
      <c r="D98" t="s">
        <v>33</v>
      </c>
      <c r="E98" t="s">
        <v>34</v>
      </c>
      <c r="F98" t="s">
        <v>35</v>
      </c>
      <c r="G98" t="s">
        <v>36</v>
      </c>
      <c r="H98">
        <v>400</v>
      </c>
      <c r="I98" t="s">
        <v>33</v>
      </c>
      <c r="J98">
        <v>250</v>
      </c>
      <c r="K98">
        <v>50</v>
      </c>
      <c r="L98">
        <v>200</v>
      </c>
      <c r="N98">
        <v>200</v>
      </c>
      <c r="O98">
        <v>100</v>
      </c>
      <c r="S98">
        <v>1.25</v>
      </c>
      <c r="U98">
        <v>250</v>
      </c>
      <c r="V98">
        <v>50</v>
      </c>
      <c r="W98">
        <v>250</v>
      </c>
      <c r="AB98" t="s">
        <v>99</v>
      </c>
      <c r="AD98">
        <v>5</v>
      </c>
      <c r="AF98" t="s">
        <v>139</v>
      </c>
    </row>
    <row r="99" spans="1:32">
      <c r="A99" t="str">
        <f>Hyperlink("https://www.diodes.com/part/view/BAV21WS","BAV21WS")</f>
        <v>BAV21WS</v>
      </c>
      <c r="B99" t="str">
        <f>Hyperlink("https://www.diodes.com/assets/Datasheets/BAV19WS-BAV21WS.pdf","BAV21WS Datasheet")</f>
        <v>BAV21WS Datasheet</v>
      </c>
      <c r="C99" t="s">
        <v>32</v>
      </c>
      <c r="D99" t="s">
        <v>39</v>
      </c>
      <c r="E99" t="s">
        <v>34</v>
      </c>
      <c r="F99" t="s">
        <v>35</v>
      </c>
      <c r="G99" t="s">
        <v>36</v>
      </c>
      <c r="H99">
        <v>200</v>
      </c>
      <c r="I99" t="s">
        <v>33</v>
      </c>
      <c r="J99">
        <v>200</v>
      </c>
      <c r="K99">
        <v>50</v>
      </c>
      <c r="L99">
        <v>200</v>
      </c>
      <c r="M99">
        <v>2.5</v>
      </c>
      <c r="N99">
        <v>1</v>
      </c>
      <c r="O99">
        <v>0.1</v>
      </c>
      <c r="Q99">
        <v>5</v>
      </c>
      <c r="U99">
        <v>250</v>
      </c>
      <c r="V99">
        <v>50</v>
      </c>
      <c r="W99">
        <v>200</v>
      </c>
      <c r="X99">
        <v>0.715</v>
      </c>
      <c r="Y99">
        <v>0.855</v>
      </c>
      <c r="AB99" t="s">
        <v>106</v>
      </c>
      <c r="AD99">
        <v>5</v>
      </c>
      <c r="AF99" t="s">
        <v>42</v>
      </c>
    </row>
    <row r="100" spans="1:32">
      <c r="A100" t="str">
        <f>Hyperlink("https://www.diodes.com/part/view/BAV21WS%28LS%29","BAV21WS(LS)")</f>
        <v>BAV21WS(LS)</v>
      </c>
      <c r="B100" t="str">
        <f>Hyperlink("https://www.diodes.com/assets/Datasheets/BAV21WS_LS.pdf","BAV21WS(LS) Datasheet")</f>
        <v>BAV21WS(LS) Datasheet</v>
      </c>
      <c r="C100" t="s">
        <v>43</v>
      </c>
      <c r="D100" t="s">
        <v>33</v>
      </c>
      <c r="E100" t="s">
        <v>34</v>
      </c>
      <c r="F100" t="s">
        <v>35</v>
      </c>
      <c r="G100" t="s">
        <v>36</v>
      </c>
      <c r="H100">
        <v>200</v>
      </c>
      <c r="I100" t="s">
        <v>33</v>
      </c>
      <c r="J100">
        <v>250</v>
      </c>
      <c r="K100">
        <v>50</v>
      </c>
      <c r="L100">
        <v>200</v>
      </c>
      <c r="M100">
        <v>9</v>
      </c>
      <c r="N100">
        <v>200</v>
      </c>
      <c r="O100">
        <v>100</v>
      </c>
      <c r="S100">
        <v>1.25</v>
      </c>
      <c r="U100">
        <v>250</v>
      </c>
      <c r="V100">
        <v>50</v>
      </c>
      <c r="W100">
        <v>250</v>
      </c>
      <c r="AB100" t="s">
        <v>99</v>
      </c>
      <c r="AD100">
        <v>5</v>
      </c>
      <c r="AF100" t="s">
        <v>45</v>
      </c>
    </row>
    <row r="101" spans="1:32">
      <c r="A101" t="str">
        <f>Hyperlink("https://www.diodes.com/part/view/BAV23","BAV23")</f>
        <v>BAV23</v>
      </c>
      <c r="B101" t="str">
        <f>Hyperlink("https://www.diodes.com/assets/Datasheets/ds31756.pdf","BAV23 Datasheet")</f>
        <v>BAV23 Datasheet</v>
      </c>
      <c r="C101" t="s">
        <v>32</v>
      </c>
      <c r="D101" t="s">
        <v>39</v>
      </c>
      <c r="E101" t="s">
        <v>34</v>
      </c>
      <c r="F101" t="s">
        <v>61</v>
      </c>
      <c r="G101" t="s">
        <v>36</v>
      </c>
      <c r="H101">
        <v>400</v>
      </c>
      <c r="I101" t="s">
        <v>33</v>
      </c>
      <c r="J101">
        <v>250</v>
      </c>
      <c r="K101">
        <v>50</v>
      </c>
      <c r="L101">
        <v>400</v>
      </c>
      <c r="M101">
        <v>9</v>
      </c>
      <c r="N101" t="s">
        <v>55</v>
      </c>
      <c r="O101">
        <v>0.1</v>
      </c>
      <c r="Q101">
        <v>2</v>
      </c>
      <c r="U101">
        <v>250</v>
      </c>
      <c r="V101">
        <v>50</v>
      </c>
      <c r="W101">
        <v>200</v>
      </c>
      <c r="X101">
        <v>0.715</v>
      </c>
      <c r="Y101">
        <v>0.855</v>
      </c>
      <c r="AB101" t="s">
        <v>104</v>
      </c>
      <c r="AD101">
        <v>2</v>
      </c>
      <c r="AF101" t="s">
        <v>114</v>
      </c>
    </row>
    <row r="102" spans="1:32">
      <c r="A102" t="str">
        <f>Hyperlink("https://www.diodes.com/part/view/BAV23A","BAV23A")</f>
        <v>BAV23A</v>
      </c>
      <c r="B102" t="str">
        <f>Hyperlink("https://www.diodes.com/assets/Datasheets/BAV23A_C_S.pdf","BAV23A Datasheet")</f>
        <v>BAV23A Datasheet</v>
      </c>
      <c r="C102" t="s">
        <v>32</v>
      </c>
      <c r="D102" t="s">
        <v>39</v>
      </c>
      <c r="E102" t="s">
        <v>34</v>
      </c>
      <c r="F102" t="s">
        <v>140</v>
      </c>
      <c r="G102" t="s">
        <v>36</v>
      </c>
      <c r="H102">
        <v>350</v>
      </c>
      <c r="I102" t="s">
        <v>33</v>
      </c>
      <c r="J102">
        <v>250</v>
      </c>
      <c r="K102">
        <v>50</v>
      </c>
      <c r="L102">
        <v>400</v>
      </c>
      <c r="M102">
        <v>9</v>
      </c>
      <c r="N102">
        <v>1</v>
      </c>
      <c r="O102">
        <v>0.1</v>
      </c>
      <c r="Q102">
        <v>5</v>
      </c>
      <c r="U102">
        <v>250</v>
      </c>
      <c r="V102">
        <v>50</v>
      </c>
      <c r="W102">
        <v>200</v>
      </c>
      <c r="X102">
        <v>0.715</v>
      </c>
      <c r="Y102">
        <v>0.855</v>
      </c>
      <c r="AB102" t="s">
        <v>104</v>
      </c>
      <c r="AD102">
        <v>5</v>
      </c>
      <c r="AF102" t="s">
        <v>65</v>
      </c>
    </row>
    <row r="103" spans="1:32">
      <c r="A103" t="str">
        <f>Hyperlink("https://www.diodes.com/part/view/BAV23AQ","BAV23AQ")</f>
        <v>BAV23AQ</v>
      </c>
      <c r="B103" t="str">
        <f>Hyperlink("https://www.diodes.com/assets/Datasheets/BAV23AQ_CQ_SQ.pdf","BAV23AQ/CQ/SQ Datasheet")</f>
        <v>BAV23AQ/CQ/SQ Datasheet</v>
      </c>
      <c r="C103" t="s">
        <v>141</v>
      </c>
      <c r="D103" t="s">
        <v>39</v>
      </c>
      <c r="E103" t="s">
        <v>40</v>
      </c>
      <c r="F103" t="s">
        <v>140</v>
      </c>
      <c r="G103" t="s">
        <v>36</v>
      </c>
      <c r="H103">
        <v>350</v>
      </c>
      <c r="I103" t="s">
        <v>33</v>
      </c>
      <c r="J103">
        <v>250</v>
      </c>
      <c r="K103">
        <v>50</v>
      </c>
      <c r="L103">
        <v>400</v>
      </c>
      <c r="M103">
        <v>9</v>
      </c>
      <c r="N103">
        <v>1</v>
      </c>
      <c r="O103">
        <v>0.1</v>
      </c>
      <c r="Q103">
        <v>5</v>
      </c>
      <c r="U103">
        <v>250</v>
      </c>
      <c r="V103">
        <v>50</v>
      </c>
      <c r="W103">
        <v>200</v>
      </c>
      <c r="X103">
        <v>0.715</v>
      </c>
      <c r="Y103">
        <v>0.855</v>
      </c>
      <c r="AB103" t="s">
        <v>104</v>
      </c>
      <c r="AD103">
        <v>5</v>
      </c>
      <c r="AF103" t="s">
        <v>65</v>
      </c>
    </row>
    <row r="104" spans="1:32">
      <c r="A104" t="str">
        <f>Hyperlink("https://www.diodes.com/part/view/BAV23C","BAV23C")</f>
        <v>BAV23C</v>
      </c>
      <c r="B104" t="str">
        <f>Hyperlink("https://www.diodes.com/assets/Datasheets/BAV23A_C_S.pdf","BAV23C Datasheet")</f>
        <v>BAV23C Datasheet</v>
      </c>
      <c r="C104" t="s">
        <v>32</v>
      </c>
      <c r="D104" t="s">
        <v>39</v>
      </c>
      <c r="E104" t="s">
        <v>34</v>
      </c>
      <c r="F104" t="s">
        <v>129</v>
      </c>
      <c r="G104" t="s">
        <v>36</v>
      </c>
      <c r="H104">
        <v>350</v>
      </c>
      <c r="I104" t="s">
        <v>33</v>
      </c>
      <c r="J104">
        <v>250</v>
      </c>
      <c r="K104">
        <v>50</v>
      </c>
      <c r="L104">
        <v>400</v>
      </c>
      <c r="M104">
        <v>9</v>
      </c>
      <c r="N104">
        <v>1</v>
      </c>
      <c r="O104">
        <v>0.1</v>
      </c>
      <c r="Q104">
        <v>5</v>
      </c>
      <c r="U104">
        <v>250</v>
      </c>
      <c r="V104">
        <v>50</v>
      </c>
      <c r="W104">
        <v>200</v>
      </c>
      <c r="X104">
        <v>0.715</v>
      </c>
      <c r="Y104">
        <v>0.855</v>
      </c>
      <c r="AB104" t="s">
        <v>104</v>
      </c>
      <c r="AD104">
        <v>5</v>
      </c>
      <c r="AF104" t="s">
        <v>65</v>
      </c>
    </row>
    <row r="105" spans="1:32">
      <c r="A105" t="str">
        <f>Hyperlink("https://www.diodes.com/part/view/BAV23CQ","BAV23CQ")</f>
        <v>BAV23CQ</v>
      </c>
      <c r="B105" t="str">
        <f>Hyperlink("https://www.diodes.com/assets/Datasheets/BAV23AQ_CQ_SQ.pdf","BAV23AQ/CQ/SQ Datasheet")</f>
        <v>BAV23AQ/CQ/SQ Datasheet</v>
      </c>
      <c r="C105" t="s">
        <v>141</v>
      </c>
      <c r="D105" t="s">
        <v>39</v>
      </c>
      <c r="E105" t="s">
        <v>40</v>
      </c>
      <c r="F105" t="s">
        <v>129</v>
      </c>
      <c r="G105" t="s">
        <v>36</v>
      </c>
      <c r="H105">
        <v>350</v>
      </c>
      <c r="I105" t="s">
        <v>33</v>
      </c>
      <c r="J105">
        <v>250</v>
      </c>
      <c r="K105">
        <v>50</v>
      </c>
      <c r="L105">
        <v>400</v>
      </c>
      <c r="M105">
        <v>9</v>
      </c>
      <c r="N105">
        <v>1</v>
      </c>
      <c r="O105">
        <v>0.1</v>
      </c>
      <c r="Q105">
        <v>5</v>
      </c>
      <c r="U105">
        <v>250</v>
      </c>
      <c r="V105">
        <v>50</v>
      </c>
      <c r="W105">
        <v>200</v>
      </c>
      <c r="X105">
        <v>0.715</v>
      </c>
      <c r="Y105">
        <v>0.855</v>
      </c>
      <c r="AB105" t="s">
        <v>104</v>
      </c>
      <c r="AD105">
        <v>5</v>
      </c>
      <c r="AF105" t="s">
        <v>65</v>
      </c>
    </row>
    <row r="106" spans="1:32">
      <c r="A106" t="str">
        <f>Hyperlink("https://www.diodes.com/part/view/BAV23S","BAV23S")</f>
        <v>BAV23S</v>
      </c>
      <c r="B106" t="str">
        <f>Hyperlink("https://www.diodes.com/assets/Datasheets/BAV23A_C_S.pdf","BAV23S Datasheet")</f>
        <v>BAV23S Datasheet</v>
      </c>
      <c r="C106" t="s">
        <v>32</v>
      </c>
      <c r="D106" t="s">
        <v>39</v>
      </c>
      <c r="E106" t="s">
        <v>34</v>
      </c>
      <c r="F106" t="s">
        <v>116</v>
      </c>
      <c r="G106" t="s">
        <v>36</v>
      </c>
      <c r="H106">
        <v>350</v>
      </c>
      <c r="I106" t="s">
        <v>33</v>
      </c>
      <c r="J106">
        <v>250</v>
      </c>
      <c r="K106">
        <v>50</v>
      </c>
      <c r="L106">
        <v>400</v>
      </c>
      <c r="M106">
        <v>9</v>
      </c>
      <c r="N106">
        <v>1</v>
      </c>
      <c r="O106">
        <v>0.1</v>
      </c>
      <c r="Q106">
        <v>5</v>
      </c>
      <c r="U106">
        <v>250</v>
      </c>
      <c r="V106">
        <v>50</v>
      </c>
      <c r="W106">
        <v>200</v>
      </c>
      <c r="X106">
        <v>0.715</v>
      </c>
      <c r="Y106">
        <v>0.855</v>
      </c>
      <c r="AB106" t="s">
        <v>104</v>
      </c>
      <c r="AD106">
        <v>5</v>
      </c>
      <c r="AF106" t="s">
        <v>65</v>
      </c>
    </row>
    <row r="107" spans="1:32">
      <c r="A107" t="str">
        <f>Hyperlink("https://www.diodes.com/part/view/BAV23SQ","BAV23SQ")</f>
        <v>BAV23SQ</v>
      </c>
      <c r="B107" t="str">
        <f>Hyperlink("https://www.diodes.com/assets/Datasheets/BAV23AQ_CQ_SQ.pdf","BAV23AQ/CQ/SQ Datasheet")</f>
        <v>BAV23AQ/CQ/SQ Datasheet</v>
      </c>
      <c r="C107" t="s">
        <v>141</v>
      </c>
      <c r="D107" t="s">
        <v>39</v>
      </c>
      <c r="E107" t="s">
        <v>40</v>
      </c>
      <c r="F107" t="s">
        <v>116</v>
      </c>
      <c r="G107" t="s">
        <v>36</v>
      </c>
      <c r="H107">
        <v>350</v>
      </c>
      <c r="I107" t="s">
        <v>33</v>
      </c>
      <c r="J107">
        <v>250</v>
      </c>
      <c r="K107">
        <v>50</v>
      </c>
      <c r="L107">
        <v>400</v>
      </c>
      <c r="M107">
        <v>9</v>
      </c>
      <c r="N107">
        <v>1</v>
      </c>
      <c r="O107">
        <v>0.1</v>
      </c>
      <c r="Q107">
        <v>5</v>
      </c>
      <c r="U107">
        <v>250</v>
      </c>
      <c r="V107">
        <v>50</v>
      </c>
      <c r="W107">
        <v>200</v>
      </c>
      <c r="X107">
        <v>0.715</v>
      </c>
      <c r="Y107">
        <v>0.855</v>
      </c>
      <c r="AB107" t="s">
        <v>104</v>
      </c>
      <c r="AD107">
        <v>5</v>
      </c>
      <c r="AF107" t="s">
        <v>65</v>
      </c>
    </row>
    <row r="108" spans="1:32">
      <c r="A108" t="str">
        <f>Hyperlink("https://www.diodes.com/part/view/BAV70","BAV70")</f>
        <v>BAV70</v>
      </c>
      <c r="B108" t="str">
        <f>Hyperlink("https://www.diodes.com/assets/Datasheets/BAV70.pdf","BAV70 Datasheet")</f>
        <v>BAV70 Datasheet</v>
      </c>
      <c r="C108" t="s">
        <v>142</v>
      </c>
      <c r="D108" t="s">
        <v>39</v>
      </c>
      <c r="E108" t="s">
        <v>34</v>
      </c>
      <c r="F108" t="s">
        <v>129</v>
      </c>
      <c r="G108" t="s">
        <v>36</v>
      </c>
      <c r="H108">
        <v>350</v>
      </c>
      <c r="I108" t="s">
        <v>33</v>
      </c>
      <c r="J108">
        <v>75</v>
      </c>
      <c r="K108">
        <v>4</v>
      </c>
      <c r="L108">
        <v>150</v>
      </c>
      <c r="M108">
        <v>2</v>
      </c>
      <c r="N108">
        <v>1</v>
      </c>
      <c r="O108">
        <v>2.5</v>
      </c>
      <c r="Q108">
        <v>2</v>
      </c>
      <c r="U108" t="s">
        <v>143</v>
      </c>
      <c r="V108">
        <v>4</v>
      </c>
      <c r="W108">
        <v>75</v>
      </c>
      <c r="X108">
        <v>0.9</v>
      </c>
      <c r="Y108">
        <v>1</v>
      </c>
      <c r="AB108" t="s">
        <v>144</v>
      </c>
      <c r="AD108">
        <v>2</v>
      </c>
      <c r="AF108" t="s">
        <v>65</v>
      </c>
    </row>
    <row r="109" spans="1:32">
      <c r="A109" t="str">
        <f>Hyperlink("https://www.diodes.com/part/view/BAV70%28LS%29","BAV70(LS)")</f>
        <v>BAV70(LS)</v>
      </c>
      <c r="B109" t="str">
        <f>Hyperlink("https://www.diodes.com/assets/Datasheets/BAV70_LS.pdf","BAV70(LS) Datasheet")</f>
        <v>BAV70(LS) Datasheet</v>
      </c>
      <c r="C109" t="s">
        <v>43</v>
      </c>
      <c r="D109" t="s">
        <v>33</v>
      </c>
      <c r="E109" t="s">
        <v>34</v>
      </c>
      <c r="F109" t="s">
        <v>35</v>
      </c>
      <c r="G109" t="s">
        <v>36</v>
      </c>
      <c r="H109">
        <v>225</v>
      </c>
      <c r="I109" t="s">
        <v>33</v>
      </c>
      <c r="J109">
        <v>70</v>
      </c>
      <c r="K109">
        <v>6</v>
      </c>
      <c r="L109">
        <v>200</v>
      </c>
      <c r="M109">
        <v>0.5</v>
      </c>
      <c r="N109">
        <v>10</v>
      </c>
      <c r="O109">
        <v>100</v>
      </c>
      <c r="U109">
        <v>70</v>
      </c>
      <c r="V109">
        <v>6</v>
      </c>
      <c r="W109">
        <v>70</v>
      </c>
      <c r="Y109">
        <v>0.855</v>
      </c>
      <c r="AB109" t="s">
        <v>144</v>
      </c>
      <c r="AD109">
        <v>1.5</v>
      </c>
      <c r="AF109" t="s">
        <v>100</v>
      </c>
    </row>
    <row r="110" spans="1:32">
      <c r="A110" t="str">
        <f>Hyperlink("https://www.diodes.com/part/view/BAV70DV","BAV70DV")</f>
        <v>BAV70DV</v>
      </c>
      <c r="B110" t="str">
        <f>Hyperlink("https://www.diodes.com/assets/Datasheets/BAV70DV.pdf","BAV70DV Datasheet")</f>
        <v>BAV70DV Datasheet</v>
      </c>
      <c r="C110" t="s">
        <v>54</v>
      </c>
      <c r="D110" t="s">
        <v>39</v>
      </c>
      <c r="E110" t="s">
        <v>34</v>
      </c>
      <c r="F110" t="s">
        <v>145</v>
      </c>
      <c r="G110" t="s">
        <v>36</v>
      </c>
      <c r="H110">
        <v>200</v>
      </c>
      <c r="I110" t="s">
        <v>33</v>
      </c>
      <c r="J110">
        <v>75</v>
      </c>
      <c r="K110">
        <v>4</v>
      </c>
      <c r="L110">
        <v>150</v>
      </c>
      <c r="M110">
        <v>2</v>
      </c>
      <c r="N110" t="s">
        <v>94</v>
      </c>
      <c r="O110">
        <v>2.5</v>
      </c>
      <c r="Q110">
        <v>2</v>
      </c>
      <c r="U110" t="s">
        <v>143</v>
      </c>
      <c r="V110">
        <v>4</v>
      </c>
      <c r="W110">
        <v>75</v>
      </c>
      <c r="X110">
        <v>0.715</v>
      </c>
      <c r="Y110">
        <v>0.855</v>
      </c>
      <c r="AB110" t="s">
        <v>144</v>
      </c>
      <c r="AD110">
        <v>2</v>
      </c>
      <c r="AF110" t="s">
        <v>69</v>
      </c>
    </row>
    <row r="111" spans="1:32">
      <c r="A111" t="str">
        <f>Hyperlink("https://www.diodes.com/part/view/BAV70DW","BAV70DW")</f>
        <v>BAV70DW</v>
      </c>
      <c r="B111" t="str">
        <f>Hyperlink("https://www.diodes.com/assets/Datasheets/BAV70DW.pdf","BAV70DW Datasheet")</f>
        <v>BAV70DW Datasheet</v>
      </c>
      <c r="C111" t="s">
        <v>146</v>
      </c>
      <c r="D111" t="s">
        <v>39</v>
      </c>
      <c r="E111" t="s">
        <v>34</v>
      </c>
      <c r="F111" t="s">
        <v>145</v>
      </c>
      <c r="G111" t="s">
        <v>36</v>
      </c>
      <c r="H111">
        <v>200</v>
      </c>
      <c r="I111" t="s">
        <v>33</v>
      </c>
      <c r="J111">
        <v>75</v>
      </c>
      <c r="K111">
        <v>4</v>
      </c>
      <c r="L111">
        <v>150</v>
      </c>
      <c r="M111">
        <v>2</v>
      </c>
      <c r="N111">
        <v>1</v>
      </c>
      <c r="O111">
        <v>2.5</v>
      </c>
      <c r="Q111">
        <v>2</v>
      </c>
      <c r="U111" t="s">
        <v>147</v>
      </c>
      <c r="V111">
        <v>4</v>
      </c>
      <c r="W111">
        <v>75</v>
      </c>
      <c r="X111">
        <v>0.715</v>
      </c>
      <c r="Y111">
        <v>0.855</v>
      </c>
      <c r="AB111" t="s">
        <v>144</v>
      </c>
      <c r="AD111">
        <v>1.5</v>
      </c>
      <c r="AF111" t="s">
        <v>79</v>
      </c>
    </row>
    <row r="112" spans="1:32">
      <c r="A112" t="str">
        <f>Hyperlink("https://www.diodes.com/part/view/BAV70HDW","BAV70HDW")</f>
        <v>BAV70HDW</v>
      </c>
      <c r="B112" t="str">
        <f>Hyperlink("https://www.diodes.com/assets/Datasheets/BAV70HDW.pdf","BAV70HDW Datasheet")</f>
        <v>BAV70HDW Datasheet</v>
      </c>
      <c r="C112" t="s">
        <v>75</v>
      </c>
      <c r="D112" t="s">
        <v>39</v>
      </c>
      <c r="E112" t="s">
        <v>34</v>
      </c>
      <c r="F112" t="s">
        <v>129</v>
      </c>
      <c r="G112" t="s">
        <v>36</v>
      </c>
      <c r="H112">
        <v>350</v>
      </c>
      <c r="I112" t="s">
        <v>33</v>
      </c>
      <c r="J112">
        <v>100</v>
      </c>
      <c r="K112">
        <v>4</v>
      </c>
      <c r="L112">
        <v>125</v>
      </c>
      <c r="M112">
        <v>4</v>
      </c>
      <c r="N112" t="s">
        <v>77</v>
      </c>
      <c r="O112">
        <v>0.5</v>
      </c>
      <c r="Q112">
        <v>1.5</v>
      </c>
      <c r="U112" t="s">
        <v>148</v>
      </c>
      <c r="V112">
        <v>4</v>
      </c>
      <c r="W112">
        <v>80</v>
      </c>
      <c r="X112">
        <v>0.715</v>
      </c>
      <c r="Y112">
        <v>0.855</v>
      </c>
      <c r="AB112">
        <v>0.5</v>
      </c>
      <c r="AD112">
        <v>1.5</v>
      </c>
      <c r="AF112" t="s">
        <v>79</v>
      </c>
    </row>
    <row r="113" spans="1:32">
      <c r="A113" t="str">
        <f>Hyperlink("https://www.diodes.com/part/view/BAV70HDWQ","BAV70HDWQ")</f>
        <v>BAV70HDWQ</v>
      </c>
      <c r="B113" t="str">
        <f>Hyperlink("https://www.diodes.com/assets/Datasheets/BAV70HDWQ.pdf","BAV70HDWQ Datasheet")</f>
        <v>BAV70HDWQ Datasheet</v>
      </c>
      <c r="C113" t="s">
        <v>75</v>
      </c>
      <c r="D113" t="s">
        <v>39</v>
      </c>
      <c r="E113" t="s">
        <v>40</v>
      </c>
      <c r="F113" t="s">
        <v>129</v>
      </c>
      <c r="G113" t="s">
        <v>36</v>
      </c>
      <c r="H113">
        <v>350</v>
      </c>
      <c r="I113" t="s">
        <v>33</v>
      </c>
      <c r="J113">
        <v>100</v>
      </c>
      <c r="K113">
        <v>4</v>
      </c>
      <c r="L113">
        <v>125</v>
      </c>
      <c r="M113">
        <v>4</v>
      </c>
      <c r="N113" t="s">
        <v>77</v>
      </c>
      <c r="O113">
        <v>0.5</v>
      </c>
      <c r="Q113">
        <v>1.5</v>
      </c>
      <c r="U113" t="s">
        <v>148</v>
      </c>
      <c r="V113">
        <v>4</v>
      </c>
      <c r="W113">
        <v>80</v>
      </c>
      <c r="X113">
        <v>0.715</v>
      </c>
      <c r="Y113">
        <v>0.855</v>
      </c>
      <c r="AB113">
        <v>0.5</v>
      </c>
      <c r="AD113">
        <v>1.5</v>
      </c>
      <c r="AF113" t="s">
        <v>79</v>
      </c>
    </row>
    <row r="114" spans="1:32">
      <c r="A114" t="str">
        <f>Hyperlink("https://www.diodes.com/part/view/BAV70LP","BAV70LP")</f>
        <v>BAV70LP</v>
      </c>
      <c r="B114" t="str">
        <f>Hyperlink("https://www.diodes.com/assets/Datasheets/ds31597.pdf","BAV70LP Datasheet")</f>
        <v>BAV70LP Datasheet</v>
      </c>
      <c r="C114" t="s">
        <v>54</v>
      </c>
      <c r="D114" t="s">
        <v>39</v>
      </c>
      <c r="E114" t="s">
        <v>34</v>
      </c>
      <c r="F114" t="s">
        <v>129</v>
      </c>
      <c r="G114" t="s">
        <v>36</v>
      </c>
      <c r="H114">
        <v>400</v>
      </c>
      <c r="I114" t="s">
        <v>33</v>
      </c>
      <c r="J114">
        <v>75</v>
      </c>
      <c r="K114">
        <v>4</v>
      </c>
      <c r="L114">
        <v>150</v>
      </c>
      <c r="M114">
        <v>2</v>
      </c>
      <c r="N114" t="s">
        <v>94</v>
      </c>
      <c r="O114">
        <v>2.5</v>
      </c>
      <c r="Q114">
        <v>2</v>
      </c>
      <c r="U114" t="s">
        <v>143</v>
      </c>
      <c r="V114">
        <v>4</v>
      </c>
      <c r="W114">
        <v>75</v>
      </c>
      <c r="X114">
        <v>0.715</v>
      </c>
      <c r="Y114">
        <v>0.855</v>
      </c>
      <c r="AB114" t="s">
        <v>144</v>
      </c>
      <c r="AD114">
        <v>2</v>
      </c>
      <c r="AF114" t="s">
        <v>149</v>
      </c>
    </row>
    <row r="115" spans="1:32">
      <c r="A115" t="str">
        <f>Hyperlink("https://www.diodes.com/part/view/BAV70T","BAV70T")</f>
        <v>BAV70T</v>
      </c>
      <c r="B115" t="str">
        <f>Hyperlink("https://www.diodes.com/assets/Datasheets/BAS16T_BAW56T_BAV70T_BAV99T.pdf","BAV70T Datasheet")</f>
        <v>BAV70T Datasheet</v>
      </c>
      <c r="C115" t="s">
        <v>32</v>
      </c>
      <c r="D115" t="s">
        <v>39</v>
      </c>
      <c r="E115" t="s">
        <v>34</v>
      </c>
      <c r="F115" t="s">
        <v>129</v>
      </c>
      <c r="G115" t="s">
        <v>36</v>
      </c>
      <c r="H115">
        <v>150</v>
      </c>
      <c r="I115" t="s">
        <v>33</v>
      </c>
      <c r="J115">
        <v>85</v>
      </c>
      <c r="K115">
        <v>4</v>
      </c>
      <c r="L115">
        <v>155</v>
      </c>
      <c r="M115">
        <v>4</v>
      </c>
      <c r="N115">
        <v>1</v>
      </c>
      <c r="O115">
        <v>2</v>
      </c>
      <c r="Q115">
        <v>1.5</v>
      </c>
      <c r="U115">
        <v>85</v>
      </c>
      <c r="V115">
        <v>4</v>
      </c>
      <c r="W115">
        <v>75</v>
      </c>
      <c r="X115">
        <v>0.715</v>
      </c>
      <c r="Y115">
        <v>0.855</v>
      </c>
      <c r="AB115" t="s">
        <v>144</v>
      </c>
      <c r="AF115" t="s">
        <v>68</v>
      </c>
    </row>
    <row r="116" spans="1:32">
      <c r="A116" t="str">
        <f>Hyperlink("https://www.diodes.com/part/view/BAV70W","BAV70W")</f>
        <v>BAV70W</v>
      </c>
      <c r="B116" t="str">
        <f>Hyperlink("https://www.diodes.com/assets/Datasheets/BAV70W.pdf","BAV70W Datasheet")</f>
        <v>BAV70W Datasheet</v>
      </c>
      <c r="C116" t="s">
        <v>142</v>
      </c>
      <c r="D116" t="s">
        <v>39</v>
      </c>
      <c r="E116" t="s">
        <v>34</v>
      </c>
      <c r="F116" t="s">
        <v>129</v>
      </c>
      <c r="G116" t="s">
        <v>36</v>
      </c>
      <c r="H116">
        <v>200</v>
      </c>
      <c r="I116" t="s">
        <v>33</v>
      </c>
      <c r="J116">
        <v>75</v>
      </c>
      <c r="K116">
        <v>4</v>
      </c>
      <c r="L116">
        <v>150</v>
      </c>
      <c r="M116">
        <v>2</v>
      </c>
      <c r="N116">
        <v>1</v>
      </c>
      <c r="O116">
        <v>2.5</v>
      </c>
      <c r="Q116">
        <v>2</v>
      </c>
      <c r="U116">
        <v>75</v>
      </c>
      <c r="V116">
        <v>4</v>
      </c>
      <c r="W116">
        <v>75</v>
      </c>
      <c r="X116">
        <v>0.715</v>
      </c>
      <c r="Y116">
        <v>0.855</v>
      </c>
      <c r="AB116" t="s">
        <v>144</v>
      </c>
      <c r="AD116">
        <v>2</v>
      </c>
      <c r="AF116" t="s">
        <v>97</v>
      </c>
    </row>
    <row r="117" spans="1:32">
      <c r="A117" t="str">
        <f>Hyperlink("https://www.diodes.com/part/view/BAV70W%28LS%29","BAV70W(LS)")</f>
        <v>BAV70W(LS)</v>
      </c>
      <c r="B117" t="str">
        <f>Hyperlink("https://www.diodes.com/assets/Datasheets/BAV70W_LS.pdf","BAV70W(LS) Datasheet")</f>
        <v>BAV70W(LS) Datasheet</v>
      </c>
      <c r="C117" t="s">
        <v>43</v>
      </c>
      <c r="D117" t="s">
        <v>33</v>
      </c>
      <c r="E117" t="s">
        <v>34</v>
      </c>
      <c r="F117" t="s">
        <v>35</v>
      </c>
      <c r="G117" t="s">
        <v>36</v>
      </c>
      <c r="H117">
        <v>200</v>
      </c>
      <c r="I117" t="s">
        <v>33</v>
      </c>
      <c r="J117">
        <v>100</v>
      </c>
      <c r="K117">
        <v>4</v>
      </c>
      <c r="L117">
        <v>150</v>
      </c>
      <c r="M117">
        <v>2</v>
      </c>
      <c r="N117">
        <v>10</v>
      </c>
      <c r="O117">
        <v>100</v>
      </c>
      <c r="U117">
        <v>100</v>
      </c>
      <c r="V117">
        <v>4</v>
      </c>
      <c r="W117">
        <v>75</v>
      </c>
      <c r="Y117">
        <v>0.855</v>
      </c>
      <c r="AB117" t="s">
        <v>144</v>
      </c>
      <c r="AD117">
        <v>4</v>
      </c>
      <c r="AF117" t="s">
        <v>98</v>
      </c>
    </row>
    <row r="118" spans="1:32">
      <c r="A118" t="str">
        <f>Hyperlink("https://www.diodes.com/part/view/BAV756DW","BAV756DW")</f>
        <v>BAV756DW</v>
      </c>
      <c r="B118" t="str">
        <f>Hyperlink("https://www.diodes.com/assets/Datasheets/ds30148.pdf","BAV756DW Datasheet")</f>
        <v>BAV756DW Datasheet</v>
      </c>
      <c r="C118" t="s">
        <v>32</v>
      </c>
      <c r="D118" t="s">
        <v>33</v>
      </c>
      <c r="E118" t="s">
        <v>34</v>
      </c>
      <c r="F118" t="s">
        <v>150</v>
      </c>
      <c r="G118" t="s">
        <v>36</v>
      </c>
      <c r="H118">
        <v>200</v>
      </c>
      <c r="I118" t="s">
        <v>33</v>
      </c>
      <c r="J118">
        <v>75</v>
      </c>
      <c r="K118">
        <v>4</v>
      </c>
      <c r="L118">
        <v>150</v>
      </c>
      <c r="M118">
        <v>2</v>
      </c>
      <c r="N118">
        <v>1</v>
      </c>
      <c r="O118">
        <v>2.5</v>
      </c>
      <c r="Q118">
        <v>2</v>
      </c>
      <c r="S118">
        <v>1.2</v>
      </c>
      <c r="U118" t="s">
        <v>147</v>
      </c>
      <c r="V118">
        <v>4</v>
      </c>
      <c r="W118">
        <v>75</v>
      </c>
      <c r="X118">
        <v>0.7</v>
      </c>
      <c r="Y118">
        <v>0.82</v>
      </c>
      <c r="Z118">
        <v>10</v>
      </c>
      <c r="AA118">
        <v>0.1</v>
      </c>
      <c r="AB118" t="s">
        <v>144</v>
      </c>
      <c r="AD118">
        <v>2</v>
      </c>
      <c r="AF118" t="s">
        <v>79</v>
      </c>
    </row>
    <row r="119" spans="1:32">
      <c r="A119" t="str">
        <f>Hyperlink("https://www.diodes.com/part/view/BAV99","BAV99")</f>
        <v>BAV99</v>
      </c>
      <c r="B119" t="str">
        <f>Hyperlink("https://www.diodes.com/assets/Datasheets/BAV99.pdf","BAV99 Datasheet")</f>
        <v>BAV99 Datasheet</v>
      </c>
      <c r="C119" t="s">
        <v>87</v>
      </c>
      <c r="D119" t="s">
        <v>39</v>
      </c>
      <c r="E119" t="s">
        <v>34</v>
      </c>
      <c r="F119" t="s">
        <v>116</v>
      </c>
      <c r="G119" t="s">
        <v>36</v>
      </c>
      <c r="H119">
        <v>350</v>
      </c>
      <c r="I119" t="s">
        <v>33</v>
      </c>
      <c r="J119">
        <v>75</v>
      </c>
      <c r="K119">
        <v>4</v>
      </c>
      <c r="L119">
        <v>300</v>
      </c>
      <c r="M119">
        <v>2</v>
      </c>
      <c r="N119">
        <v>1</v>
      </c>
      <c r="O119">
        <v>2.5</v>
      </c>
      <c r="Q119">
        <v>2</v>
      </c>
      <c r="S119">
        <v>1.2</v>
      </c>
      <c r="U119" t="s">
        <v>147</v>
      </c>
      <c r="V119">
        <v>4</v>
      </c>
      <c r="W119">
        <v>75</v>
      </c>
      <c r="X119">
        <v>0.82</v>
      </c>
      <c r="Y119">
        <v>0.82</v>
      </c>
      <c r="Z119">
        <v>10</v>
      </c>
      <c r="AA119">
        <v>0.1</v>
      </c>
      <c r="AB119" t="s">
        <v>144</v>
      </c>
      <c r="AD119">
        <v>2</v>
      </c>
      <c r="AF119" t="s">
        <v>65</v>
      </c>
    </row>
    <row r="120" spans="1:32">
      <c r="A120" t="str">
        <f>Hyperlink("https://www.diodes.com/part/view/BAV99%28LS%29","BAV99(LS)")</f>
        <v>BAV99(LS)</v>
      </c>
      <c r="B120" t="str">
        <f>Hyperlink("https://www.diodes.com/assets/Datasheets/BAV99_LS.pdf","BAV99(LS) Datasheet")</f>
        <v>BAV99(LS) Datasheet</v>
      </c>
      <c r="C120" t="s">
        <v>151</v>
      </c>
      <c r="D120" t="s">
        <v>33</v>
      </c>
      <c r="E120" t="s">
        <v>34</v>
      </c>
      <c r="F120" t="s">
        <v>35</v>
      </c>
      <c r="G120" t="s">
        <v>36</v>
      </c>
      <c r="H120">
        <v>225</v>
      </c>
      <c r="I120" t="s">
        <v>33</v>
      </c>
      <c r="J120">
        <v>70</v>
      </c>
      <c r="K120">
        <v>6</v>
      </c>
      <c r="L120">
        <v>200</v>
      </c>
      <c r="M120">
        <v>0.5</v>
      </c>
      <c r="N120">
        <v>150</v>
      </c>
      <c r="O120">
        <v>100</v>
      </c>
      <c r="U120">
        <v>70</v>
      </c>
      <c r="V120">
        <v>6</v>
      </c>
      <c r="W120">
        <v>70</v>
      </c>
      <c r="Y120">
        <v>0.855</v>
      </c>
      <c r="AB120" t="s">
        <v>144</v>
      </c>
      <c r="AD120">
        <v>1.5</v>
      </c>
      <c r="AF120" t="s">
        <v>100</v>
      </c>
    </row>
    <row r="121" spans="1:32">
      <c r="A121" t="str">
        <f>Hyperlink("https://www.diodes.com/part/view/BAV99BRV","BAV99BRV")</f>
        <v>BAV99BRV</v>
      </c>
      <c r="B121" t="str">
        <f>Hyperlink("https://www.diodes.com/assets/Datasheets/BAV99BRV.pdf","BAV99BRV Datasheet")</f>
        <v>BAV99BRV Datasheet</v>
      </c>
      <c r="C121" t="s">
        <v>54</v>
      </c>
      <c r="D121" t="s">
        <v>39</v>
      </c>
      <c r="E121" t="s">
        <v>34</v>
      </c>
      <c r="F121" t="s">
        <v>152</v>
      </c>
      <c r="G121" t="s">
        <v>36</v>
      </c>
      <c r="H121">
        <v>350</v>
      </c>
      <c r="I121" t="s">
        <v>33</v>
      </c>
      <c r="J121">
        <v>75</v>
      </c>
      <c r="K121">
        <v>4</v>
      </c>
      <c r="L121">
        <v>215</v>
      </c>
      <c r="M121">
        <v>4</v>
      </c>
      <c r="N121" t="s">
        <v>94</v>
      </c>
      <c r="O121">
        <v>2.5</v>
      </c>
      <c r="Q121">
        <v>1.5</v>
      </c>
      <c r="U121">
        <v>75</v>
      </c>
      <c r="V121">
        <v>4</v>
      </c>
      <c r="W121">
        <v>75</v>
      </c>
      <c r="X121">
        <v>0.8</v>
      </c>
      <c r="Y121">
        <v>0.9</v>
      </c>
      <c r="AB121" t="s">
        <v>144</v>
      </c>
      <c r="AD121">
        <v>1.5</v>
      </c>
      <c r="AF121" t="s">
        <v>69</v>
      </c>
    </row>
    <row r="122" spans="1:32">
      <c r="A122" t="str">
        <f>Hyperlink("https://www.diodes.com/part/view/BAV99BRVA","BAV99BRVA")</f>
        <v>BAV99BRVA</v>
      </c>
      <c r="B122" t="str">
        <f>Hyperlink("https://www.diodes.com/assets/Datasheets/BAV99BRV.pdf","BAV99BRVA Datasheet")</f>
        <v>BAV99BRVA Datasheet</v>
      </c>
      <c r="C122" t="s">
        <v>54</v>
      </c>
      <c r="D122" t="s">
        <v>39</v>
      </c>
      <c r="E122" t="s">
        <v>34</v>
      </c>
      <c r="F122" t="s">
        <v>152</v>
      </c>
      <c r="G122" t="s">
        <v>36</v>
      </c>
      <c r="H122">
        <v>350</v>
      </c>
      <c r="I122" t="s">
        <v>33</v>
      </c>
      <c r="J122">
        <v>75</v>
      </c>
      <c r="K122">
        <v>4</v>
      </c>
      <c r="L122">
        <v>215</v>
      </c>
      <c r="M122">
        <v>4</v>
      </c>
      <c r="N122" t="s">
        <v>94</v>
      </c>
      <c r="O122">
        <v>2.5</v>
      </c>
      <c r="Q122">
        <v>1.5</v>
      </c>
      <c r="S122">
        <v>1</v>
      </c>
      <c r="U122">
        <v>75</v>
      </c>
      <c r="V122">
        <v>4</v>
      </c>
      <c r="W122">
        <v>75</v>
      </c>
      <c r="AB122" t="s">
        <v>144</v>
      </c>
      <c r="AD122">
        <v>1.5</v>
      </c>
      <c r="AF122" t="s">
        <v>69</v>
      </c>
    </row>
    <row r="123" spans="1:32">
      <c r="A123" t="str">
        <f>Hyperlink("https://www.diodes.com/part/view/BAV99BRW","BAV99BRW")</f>
        <v>BAV99BRW</v>
      </c>
      <c r="B123" t="str">
        <f>Hyperlink("https://www.diodes.com/assets/Datasheets/BAV99BRW.pdf","BAV99BRW Datasheet")</f>
        <v>BAV99BRW Datasheet</v>
      </c>
      <c r="C123" t="s">
        <v>32</v>
      </c>
      <c r="D123" t="s">
        <v>39</v>
      </c>
      <c r="E123" t="s">
        <v>34</v>
      </c>
      <c r="F123" t="s">
        <v>152</v>
      </c>
      <c r="G123" t="s">
        <v>36</v>
      </c>
      <c r="H123">
        <v>200</v>
      </c>
      <c r="I123" t="s">
        <v>33</v>
      </c>
      <c r="J123">
        <v>75</v>
      </c>
      <c r="K123">
        <v>4</v>
      </c>
      <c r="L123">
        <v>150</v>
      </c>
      <c r="M123">
        <v>2</v>
      </c>
      <c r="N123">
        <v>1</v>
      </c>
      <c r="O123">
        <v>2.5</v>
      </c>
      <c r="Q123">
        <v>2</v>
      </c>
      <c r="S123">
        <v>1</v>
      </c>
      <c r="U123" t="s">
        <v>147</v>
      </c>
      <c r="V123">
        <v>4</v>
      </c>
      <c r="W123">
        <v>75</v>
      </c>
      <c r="AB123" t="s">
        <v>144</v>
      </c>
      <c r="AD123">
        <v>2</v>
      </c>
      <c r="AF123" t="s">
        <v>79</v>
      </c>
    </row>
    <row r="124" spans="1:32">
      <c r="A124" t="str">
        <f>Hyperlink("https://www.diodes.com/part/view/BAV99DW","BAV99DW")</f>
        <v>BAV99DW</v>
      </c>
      <c r="B124" t="str">
        <f>Hyperlink("https://www.diodes.com/assets/Datasheets/BAV99DW.pdf","BAV99DW Datasheet")</f>
        <v>BAV99DW Datasheet</v>
      </c>
      <c r="C124" t="s">
        <v>146</v>
      </c>
      <c r="D124" t="s">
        <v>39</v>
      </c>
      <c r="E124" t="s">
        <v>34</v>
      </c>
      <c r="F124" t="s">
        <v>150</v>
      </c>
      <c r="G124" t="s">
        <v>36</v>
      </c>
      <c r="H124">
        <v>200</v>
      </c>
      <c r="I124" t="s">
        <v>33</v>
      </c>
      <c r="J124">
        <v>75</v>
      </c>
      <c r="K124">
        <v>4</v>
      </c>
      <c r="L124">
        <v>215</v>
      </c>
      <c r="M124">
        <v>2</v>
      </c>
      <c r="N124" t="s">
        <v>153</v>
      </c>
      <c r="O124">
        <v>2.5</v>
      </c>
      <c r="Q124">
        <v>2</v>
      </c>
      <c r="S124">
        <v>1</v>
      </c>
      <c r="U124" t="s">
        <v>147</v>
      </c>
      <c r="V124">
        <v>4</v>
      </c>
      <c r="W124">
        <v>75</v>
      </c>
      <c r="AB124" t="s">
        <v>144</v>
      </c>
      <c r="AD124">
        <v>2</v>
      </c>
      <c r="AF124" t="s">
        <v>79</v>
      </c>
    </row>
    <row r="125" spans="1:32">
      <c r="A125" t="str">
        <f>Hyperlink("https://www.diodes.com/part/view/BAV99DWQ","BAV99DWQ")</f>
        <v>BAV99DWQ</v>
      </c>
      <c r="B125" t="str">
        <f>Hyperlink("https://www.diodes.com/assets/Datasheets/BAV99DWQ.pdf","BAV99DWQ Datasheet")</f>
        <v>BAV99DWQ Datasheet</v>
      </c>
      <c r="C125" t="s">
        <v>75</v>
      </c>
      <c r="D125" t="s">
        <v>39</v>
      </c>
      <c r="E125" t="s">
        <v>40</v>
      </c>
      <c r="F125" t="s">
        <v>150</v>
      </c>
      <c r="G125" t="s">
        <v>36</v>
      </c>
      <c r="H125">
        <v>200</v>
      </c>
      <c r="I125" t="s">
        <v>33</v>
      </c>
      <c r="J125">
        <v>75</v>
      </c>
      <c r="K125">
        <v>4</v>
      </c>
      <c r="L125">
        <v>215</v>
      </c>
      <c r="M125">
        <v>2</v>
      </c>
      <c r="N125" t="s">
        <v>86</v>
      </c>
      <c r="O125">
        <v>2.5</v>
      </c>
      <c r="Q125">
        <v>2</v>
      </c>
      <c r="S125">
        <v>1</v>
      </c>
      <c r="U125" t="s">
        <v>143</v>
      </c>
      <c r="V125">
        <v>4</v>
      </c>
      <c r="W125">
        <v>75</v>
      </c>
      <c r="AB125" t="s">
        <v>144</v>
      </c>
      <c r="AD125">
        <v>2</v>
      </c>
      <c r="AF125" t="s">
        <v>79</v>
      </c>
    </row>
    <row r="126" spans="1:32">
      <c r="A126" t="str">
        <f>Hyperlink("https://www.diodes.com/part/view/BAV99HDW","BAV99HDW")</f>
        <v>BAV99HDW</v>
      </c>
      <c r="B126" t="str">
        <f>Hyperlink("https://www.diodes.com/assets/Datasheets/BAV99HDW.pdf","BAV99HDW Datasheet")</f>
        <v>BAV99HDW Datasheet</v>
      </c>
      <c r="C126" t="s">
        <v>75</v>
      </c>
      <c r="D126" t="s">
        <v>39</v>
      </c>
      <c r="E126" t="s">
        <v>34</v>
      </c>
      <c r="F126" t="s">
        <v>152</v>
      </c>
      <c r="G126" t="s">
        <v>36</v>
      </c>
      <c r="H126">
        <v>250</v>
      </c>
      <c r="I126" t="s">
        <v>33</v>
      </c>
      <c r="J126">
        <v>100</v>
      </c>
      <c r="K126">
        <v>4</v>
      </c>
      <c r="L126">
        <v>200</v>
      </c>
      <c r="M126">
        <v>4</v>
      </c>
      <c r="N126" t="s">
        <v>77</v>
      </c>
      <c r="O126">
        <v>0.5</v>
      </c>
      <c r="Q126">
        <v>1.5</v>
      </c>
      <c r="S126">
        <v>1</v>
      </c>
      <c r="U126" t="s">
        <v>154</v>
      </c>
      <c r="V126">
        <v>4</v>
      </c>
      <c r="W126">
        <v>80</v>
      </c>
      <c r="AB126">
        <v>0.5</v>
      </c>
      <c r="AD126">
        <v>1.5</v>
      </c>
      <c r="AF126" t="s">
        <v>79</v>
      </c>
    </row>
    <row r="127" spans="1:32">
      <c r="A127" t="str">
        <f>Hyperlink("https://www.diodes.com/part/view/BAV99HDWQ","BAV99HDWQ")</f>
        <v>BAV99HDWQ</v>
      </c>
      <c r="B127" t="str">
        <f>Hyperlink("https://www.diodes.com/assets/Datasheets/BAV99HDWQ.pdf","BAV99HDWQ Datasheet")</f>
        <v>BAV99HDWQ Datasheet</v>
      </c>
      <c r="C127" t="s">
        <v>75</v>
      </c>
      <c r="D127" t="s">
        <v>39</v>
      </c>
      <c r="E127" t="s">
        <v>40</v>
      </c>
      <c r="F127" t="s">
        <v>152</v>
      </c>
      <c r="G127" t="s">
        <v>36</v>
      </c>
      <c r="H127">
        <v>250</v>
      </c>
      <c r="I127" t="s">
        <v>33</v>
      </c>
      <c r="J127">
        <v>100</v>
      </c>
      <c r="K127">
        <v>4</v>
      </c>
      <c r="L127">
        <v>200</v>
      </c>
      <c r="M127">
        <v>4</v>
      </c>
      <c r="N127" t="s">
        <v>77</v>
      </c>
      <c r="O127">
        <v>0.5</v>
      </c>
      <c r="Q127">
        <v>1.5</v>
      </c>
      <c r="S127">
        <v>1</v>
      </c>
      <c r="U127" t="s">
        <v>154</v>
      </c>
      <c r="V127">
        <v>4</v>
      </c>
      <c r="W127">
        <v>80</v>
      </c>
      <c r="AB127">
        <v>0.5</v>
      </c>
      <c r="AD127">
        <v>1.5</v>
      </c>
      <c r="AF127" t="s">
        <v>79</v>
      </c>
    </row>
    <row r="128" spans="1:32">
      <c r="A128" t="str">
        <f>Hyperlink("https://www.diodes.com/part/view/BAV99Q","BAV99Q")</f>
        <v>BAV99Q</v>
      </c>
      <c r="B128" t="str">
        <f>Hyperlink("https://www.diodes.com/assets/Datasheets/BAV99.pdf","BAV99Q Datasheet")</f>
        <v>BAV99Q Datasheet</v>
      </c>
      <c r="C128" t="s">
        <v>87</v>
      </c>
      <c r="D128" t="s">
        <v>39</v>
      </c>
      <c r="E128" t="s">
        <v>40</v>
      </c>
      <c r="F128" t="s">
        <v>116</v>
      </c>
      <c r="G128" t="s">
        <v>36</v>
      </c>
      <c r="H128">
        <v>350</v>
      </c>
      <c r="I128" t="s">
        <v>33</v>
      </c>
      <c r="J128">
        <v>75</v>
      </c>
      <c r="K128">
        <v>4</v>
      </c>
      <c r="L128">
        <v>300</v>
      </c>
      <c r="M128">
        <v>2</v>
      </c>
      <c r="N128">
        <v>1</v>
      </c>
      <c r="O128">
        <v>2.5</v>
      </c>
      <c r="Q128">
        <v>2</v>
      </c>
      <c r="S128">
        <v>1.2</v>
      </c>
      <c r="U128" t="s">
        <v>147</v>
      </c>
      <c r="V128">
        <v>4</v>
      </c>
      <c r="W128">
        <v>75</v>
      </c>
      <c r="X128">
        <v>0.82</v>
      </c>
      <c r="Y128">
        <v>0.82</v>
      </c>
      <c r="Z128">
        <v>10</v>
      </c>
      <c r="AA128">
        <v>0.1</v>
      </c>
      <c r="AB128" t="s">
        <v>144</v>
      </c>
      <c r="AD128">
        <v>2</v>
      </c>
      <c r="AE128">
        <v>4</v>
      </c>
      <c r="AF128" t="s">
        <v>65</v>
      </c>
    </row>
    <row r="129" spans="1:32">
      <c r="A129" t="str">
        <f>Hyperlink("https://www.diodes.com/part/view/BAV99T","BAV99T")</f>
        <v>BAV99T</v>
      </c>
      <c r="B129" t="str">
        <f>Hyperlink("https://www.diodes.com/assets/Datasheets/BAS16T_BAW56T_BAV70T_BAV99T.pdf","BAV99T Datasheet")</f>
        <v>BAV99T Datasheet</v>
      </c>
      <c r="C129" t="s">
        <v>32</v>
      </c>
      <c r="D129" t="s">
        <v>39</v>
      </c>
      <c r="E129" t="s">
        <v>34</v>
      </c>
      <c r="F129" t="s">
        <v>116</v>
      </c>
      <c r="G129" t="s">
        <v>36</v>
      </c>
      <c r="H129">
        <v>150</v>
      </c>
      <c r="I129" t="s">
        <v>33</v>
      </c>
      <c r="J129">
        <v>85</v>
      </c>
      <c r="K129">
        <v>4</v>
      </c>
      <c r="L129">
        <v>155</v>
      </c>
      <c r="M129">
        <v>4</v>
      </c>
      <c r="N129">
        <v>1</v>
      </c>
      <c r="O129">
        <v>2</v>
      </c>
      <c r="Q129">
        <v>1.5</v>
      </c>
      <c r="U129">
        <v>85</v>
      </c>
      <c r="V129">
        <v>4</v>
      </c>
      <c r="W129">
        <v>75</v>
      </c>
      <c r="X129">
        <v>0.715</v>
      </c>
      <c r="Y129">
        <v>0.855</v>
      </c>
      <c r="AB129" t="s">
        <v>155</v>
      </c>
      <c r="AF129" t="s">
        <v>68</v>
      </c>
    </row>
    <row r="130" spans="1:32">
      <c r="A130" t="str">
        <f>Hyperlink("https://www.diodes.com/part/view/BAV99W","BAV99W")</f>
        <v>BAV99W</v>
      </c>
      <c r="B130" t="str">
        <f>Hyperlink("https://www.diodes.com/assets/Datasheets/BAV99W.pdf","BAV99W Datasheet")</f>
        <v>BAV99W Datasheet</v>
      </c>
      <c r="C130" t="s">
        <v>32</v>
      </c>
      <c r="D130" t="s">
        <v>39</v>
      </c>
      <c r="E130" t="s">
        <v>34</v>
      </c>
      <c r="F130" t="s">
        <v>116</v>
      </c>
      <c r="G130" t="s">
        <v>36</v>
      </c>
      <c r="H130">
        <v>200</v>
      </c>
      <c r="I130" t="s">
        <v>33</v>
      </c>
      <c r="J130">
        <v>75</v>
      </c>
      <c r="K130">
        <v>4</v>
      </c>
      <c r="L130">
        <v>150</v>
      </c>
      <c r="M130">
        <v>2</v>
      </c>
      <c r="N130">
        <v>1</v>
      </c>
      <c r="O130">
        <v>2.5</v>
      </c>
      <c r="Q130">
        <v>2</v>
      </c>
      <c r="U130" t="s">
        <v>143</v>
      </c>
      <c r="V130">
        <v>4</v>
      </c>
      <c r="W130">
        <v>75</v>
      </c>
      <c r="X130">
        <v>0.715</v>
      </c>
      <c r="Y130">
        <v>0.855</v>
      </c>
      <c r="AB130" t="s">
        <v>144</v>
      </c>
      <c r="AD130">
        <v>2</v>
      </c>
      <c r="AF130" t="s">
        <v>97</v>
      </c>
    </row>
    <row r="131" spans="1:32">
      <c r="A131" t="str">
        <f>Hyperlink("https://www.diodes.com/part/view/BAV99W%28LS%29","BAV99W(LS)")</f>
        <v>BAV99W(LS)</v>
      </c>
      <c r="B131" t="str">
        <f>Hyperlink("https://www.diodes.com/assets/Datasheets/BAV99W_LS.pdf","BAV99W(LS) Datasheet")</f>
        <v>BAV99W(LS) Datasheet</v>
      </c>
      <c r="C131" t="s">
        <v>111</v>
      </c>
      <c r="D131" t="s">
        <v>33</v>
      </c>
      <c r="E131" t="s">
        <v>34</v>
      </c>
      <c r="F131" t="s">
        <v>35</v>
      </c>
      <c r="G131" t="s">
        <v>36</v>
      </c>
      <c r="H131">
        <v>200</v>
      </c>
      <c r="I131" t="s">
        <v>33</v>
      </c>
      <c r="J131">
        <v>100</v>
      </c>
      <c r="K131">
        <v>4</v>
      </c>
      <c r="L131">
        <v>150</v>
      </c>
      <c r="M131">
        <v>2</v>
      </c>
      <c r="N131">
        <v>150</v>
      </c>
      <c r="O131">
        <v>100</v>
      </c>
      <c r="U131">
        <v>100</v>
      </c>
      <c r="V131">
        <v>4</v>
      </c>
      <c r="W131">
        <v>75</v>
      </c>
      <c r="Y131">
        <v>0.855</v>
      </c>
      <c r="AB131" t="s">
        <v>156</v>
      </c>
      <c r="AD131">
        <v>2</v>
      </c>
      <c r="AF131" t="s">
        <v>98</v>
      </c>
    </row>
    <row r="132" spans="1:32">
      <c r="A132" t="str">
        <f>Hyperlink("https://www.diodes.com/part/view/BAW101","BAW101")</f>
        <v>BAW101</v>
      </c>
      <c r="B132" t="str">
        <f>Hyperlink("https://www.diodes.com/assets/Datasheets/ds32092.pdf","BAW101 Datasheet")</f>
        <v>BAW101 Datasheet</v>
      </c>
      <c r="C132" t="s">
        <v>32</v>
      </c>
      <c r="D132" t="s">
        <v>33</v>
      </c>
      <c r="E132" t="s">
        <v>34</v>
      </c>
      <c r="F132" t="s">
        <v>61</v>
      </c>
      <c r="G132" t="s">
        <v>36</v>
      </c>
      <c r="H132">
        <v>400</v>
      </c>
      <c r="I132" t="s">
        <v>33</v>
      </c>
      <c r="J132">
        <v>300</v>
      </c>
      <c r="K132">
        <v>50</v>
      </c>
      <c r="L132">
        <v>250</v>
      </c>
      <c r="M132">
        <v>4.5</v>
      </c>
      <c r="N132" t="s">
        <v>157</v>
      </c>
      <c r="O132">
        <v>0.15</v>
      </c>
      <c r="Q132">
        <v>2</v>
      </c>
      <c r="U132">
        <v>300</v>
      </c>
      <c r="V132">
        <v>50</v>
      </c>
      <c r="W132">
        <v>250</v>
      </c>
      <c r="X132">
        <v>0.715</v>
      </c>
      <c r="Y132">
        <v>0.855</v>
      </c>
      <c r="AB132" t="s">
        <v>119</v>
      </c>
      <c r="AD132">
        <v>2</v>
      </c>
      <c r="AF132" t="s">
        <v>114</v>
      </c>
    </row>
    <row r="133" spans="1:32">
      <c r="A133" t="str">
        <f>Hyperlink("https://www.diodes.com/part/view/BAW101Q","BAW101Q")</f>
        <v>BAW101Q</v>
      </c>
      <c r="B133" t="str">
        <f>Hyperlink("https://www.diodes.com/assets/Datasheets/BAW101Q.pdf","BAW101Q Datasheet")</f>
        <v>BAW101Q Datasheet</v>
      </c>
      <c r="C133" t="s">
        <v>158</v>
      </c>
      <c r="D133" t="s">
        <v>39</v>
      </c>
      <c r="E133" t="s">
        <v>40</v>
      </c>
      <c r="F133" t="s">
        <v>61</v>
      </c>
      <c r="G133" t="s">
        <v>36</v>
      </c>
      <c r="H133">
        <v>400</v>
      </c>
      <c r="I133" t="s">
        <v>33</v>
      </c>
      <c r="J133">
        <v>300</v>
      </c>
      <c r="K133">
        <v>50</v>
      </c>
      <c r="L133">
        <v>250</v>
      </c>
      <c r="M133">
        <v>4.5</v>
      </c>
      <c r="N133" t="s">
        <v>157</v>
      </c>
      <c r="O133">
        <v>0.15</v>
      </c>
      <c r="Q133">
        <v>2</v>
      </c>
      <c r="U133">
        <v>300</v>
      </c>
      <c r="V133">
        <v>50</v>
      </c>
      <c r="W133">
        <v>250</v>
      </c>
      <c r="X133">
        <v>0.715</v>
      </c>
      <c r="Y133">
        <v>0.855</v>
      </c>
      <c r="AB133" t="s">
        <v>119</v>
      </c>
      <c r="AD133">
        <v>2</v>
      </c>
      <c r="AF133" t="s">
        <v>114</v>
      </c>
    </row>
    <row r="134" spans="1:32">
      <c r="A134" t="str">
        <f>Hyperlink("https://www.diodes.com/part/view/BAW101S","BAW101S")</f>
        <v>BAW101S</v>
      </c>
      <c r="B134" t="str">
        <f>Hyperlink("https://www.diodes.com/assets/Datasheets/ds32177.pdf","BAW101S Datasheet")</f>
        <v>BAW101S Datasheet</v>
      </c>
      <c r="C134" t="s">
        <v>32</v>
      </c>
      <c r="D134" t="s">
        <v>39</v>
      </c>
      <c r="E134" t="s">
        <v>34</v>
      </c>
      <c r="F134" t="s">
        <v>61</v>
      </c>
      <c r="G134" t="s">
        <v>36</v>
      </c>
      <c r="H134">
        <v>300</v>
      </c>
      <c r="I134" t="s">
        <v>33</v>
      </c>
      <c r="J134">
        <v>300</v>
      </c>
      <c r="K134">
        <v>50</v>
      </c>
      <c r="L134">
        <v>250</v>
      </c>
      <c r="M134">
        <v>4.5</v>
      </c>
      <c r="N134">
        <v>1.1</v>
      </c>
      <c r="O134">
        <v>0.15</v>
      </c>
      <c r="Q134">
        <v>2</v>
      </c>
      <c r="U134">
        <v>300</v>
      </c>
      <c r="V134">
        <v>50</v>
      </c>
      <c r="W134">
        <v>250</v>
      </c>
      <c r="X134">
        <v>0.715</v>
      </c>
      <c r="Y134">
        <v>0.855</v>
      </c>
      <c r="AB134" t="s">
        <v>119</v>
      </c>
      <c r="AD134">
        <v>2</v>
      </c>
      <c r="AF134" t="s">
        <v>79</v>
      </c>
    </row>
    <row r="135" spans="1:32">
      <c r="A135" t="str">
        <f>Hyperlink("https://www.diodes.com/part/view/BAW156","BAW156")</f>
        <v>BAW156</v>
      </c>
      <c r="B135" t="str">
        <f>Hyperlink("https://www.diodes.com/assets/Datasheets/ds30231.pdf","BAW156 Datasheet")</f>
        <v>BAW156 Datasheet</v>
      </c>
      <c r="C135" t="s">
        <v>32</v>
      </c>
      <c r="D135" t="s">
        <v>39</v>
      </c>
      <c r="E135" t="s">
        <v>34</v>
      </c>
      <c r="F135" t="s">
        <v>140</v>
      </c>
      <c r="G135" t="s">
        <v>36</v>
      </c>
      <c r="H135">
        <v>250</v>
      </c>
      <c r="I135" t="s">
        <v>33</v>
      </c>
      <c r="J135">
        <v>85</v>
      </c>
      <c r="K135">
        <v>3000</v>
      </c>
      <c r="L135">
        <v>160</v>
      </c>
      <c r="M135">
        <v>4</v>
      </c>
      <c r="N135">
        <v>1.1</v>
      </c>
      <c r="O135">
        <v>0.005</v>
      </c>
      <c r="Q135">
        <v>3</v>
      </c>
      <c r="S135">
        <v>1</v>
      </c>
      <c r="U135">
        <v>85</v>
      </c>
      <c r="V135">
        <v>3000</v>
      </c>
      <c r="W135">
        <v>75</v>
      </c>
      <c r="Y135">
        <v>0.855</v>
      </c>
      <c r="AB135" t="s">
        <v>123</v>
      </c>
      <c r="AF135" t="s">
        <v>65</v>
      </c>
    </row>
    <row r="136" spans="1:32">
      <c r="A136" t="str">
        <f>Hyperlink("https://www.diodes.com/part/view/BAW156T","BAW156T")</f>
        <v>BAW156T</v>
      </c>
      <c r="B136" t="str">
        <f>Hyperlink("https://www.diodes.com/assets/Datasheets/ds30258.pdf","BAW156T Datasheet")</f>
        <v>BAW156T Datasheet</v>
      </c>
      <c r="C136" t="s">
        <v>32</v>
      </c>
      <c r="D136" t="s">
        <v>39</v>
      </c>
      <c r="E136" t="s">
        <v>34</v>
      </c>
      <c r="F136" t="s">
        <v>140</v>
      </c>
      <c r="G136" t="s">
        <v>36</v>
      </c>
      <c r="H136">
        <v>150</v>
      </c>
      <c r="I136" t="s">
        <v>33</v>
      </c>
      <c r="J136">
        <v>85</v>
      </c>
      <c r="K136">
        <v>3000</v>
      </c>
      <c r="L136">
        <v>215</v>
      </c>
      <c r="M136">
        <v>4</v>
      </c>
      <c r="N136">
        <v>1.1</v>
      </c>
      <c r="O136">
        <v>0.005</v>
      </c>
      <c r="Q136">
        <v>2</v>
      </c>
      <c r="S136">
        <v>1</v>
      </c>
      <c r="U136">
        <v>85</v>
      </c>
      <c r="V136">
        <v>3000</v>
      </c>
      <c r="W136">
        <v>75</v>
      </c>
      <c r="Y136">
        <v>0.855</v>
      </c>
      <c r="AB136" t="s">
        <v>123</v>
      </c>
      <c r="AF136" t="s">
        <v>68</v>
      </c>
    </row>
    <row r="137" spans="1:32">
      <c r="A137" t="str">
        <f>Hyperlink("https://www.diodes.com/part/view/BAW156TQ","BAW156TQ")</f>
        <v>BAW156TQ</v>
      </c>
      <c r="B137" t="str">
        <f>Hyperlink("https://www.diodes.com/assets/Datasheets/BAW156TQ.pdf","BAW156TQ Datasheet")</f>
        <v>BAW156TQ Datasheet</v>
      </c>
      <c r="C137" t="s">
        <v>121</v>
      </c>
      <c r="D137" t="s">
        <v>39</v>
      </c>
      <c r="E137" t="s">
        <v>40</v>
      </c>
      <c r="F137" t="s">
        <v>140</v>
      </c>
      <c r="G137" t="s">
        <v>36</v>
      </c>
      <c r="H137">
        <v>150</v>
      </c>
      <c r="I137" t="s">
        <v>33</v>
      </c>
      <c r="J137">
        <v>85</v>
      </c>
      <c r="K137">
        <v>3000</v>
      </c>
      <c r="L137">
        <v>215</v>
      </c>
      <c r="M137">
        <v>4</v>
      </c>
      <c r="N137">
        <v>1.1</v>
      </c>
      <c r="O137">
        <v>0.005</v>
      </c>
      <c r="Q137">
        <v>2</v>
      </c>
      <c r="S137">
        <v>1</v>
      </c>
      <c r="U137">
        <v>85</v>
      </c>
      <c r="V137">
        <v>3000</v>
      </c>
      <c r="W137">
        <v>75</v>
      </c>
      <c r="Y137">
        <v>0.855</v>
      </c>
      <c r="AB137" t="s">
        <v>123</v>
      </c>
      <c r="AF137" t="s">
        <v>68</v>
      </c>
    </row>
    <row r="138" spans="1:32">
      <c r="A138" t="str">
        <f>Hyperlink("https://www.diodes.com/part/view/BAW56","BAW56")</f>
        <v>BAW56</v>
      </c>
      <c r="B138" t="str">
        <f>Hyperlink("https://www.diodes.com/assets/Datasheets/ds12008.pdf","BAW56 Datasheet")</f>
        <v>BAW56 Datasheet</v>
      </c>
      <c r="C138" t="s">
        <v>32</v>
      </c>
      <c r="D138" t="s">
        <v>39</v>
      </c>
      <c r="E138" t="s">
        <v>34</v>
      </c>
      <c r="F138" t="s">
        <v>140</v>
      </c>
      <c r="G138" t="s">
        <v>36</v>
      </c>
      <c r="H138">
        <v>350</v>
      </c>
      <c r="I138" t="s">
        <v>33</v>
      </c>
      <c r="J138">
        <v>75</v>
      </c>
      <c r="K138">
        <v>4</v>
      </c>
      <c r="L138">
        <v>300</v>
      </c>
      <c r="M138">
        <v>2</v>
      </c>
      <c r="N138">
        <v>1</v>
      </c>
      <c r="O138">
        <v>2.5</v>
      </c>
      <c r="Q138">
        <v>2</v>
      </c>
      <c r="S138">
        <v>1</v>
      </c>
      <c r="U138" t="s">
        <v>147</v>
      </c>
      <c r="V138">
        <v>4</v>
      </c>
      <c r="W138">
        <v>75</v>
      </c>
      <c r="Y138">
        <v>0.855</v>
      </c>
      <c r="AB138" t="s">
        <v>144</v>
      </c>
      <c r="AD138">
        <v>2</v>
      </c>
      <c r="AF138" t="s">
        <v>65</v>
      </c>
    </row>
    <row r="139" spans="1:32">
      <c r="A139" t="str">
        <f>Hyperlink("https://www.diodes.com/part/view/BAW56%28LS%29","BAW56(LS)")</f>
        <v>BAW56(LS)</v>
      </c>
      <c r="B139" t="str">
        <f>Hyperlink("https://www.diodes.com/assets/Datasheets/BAW56_LS.pdf","BAW56(LS) Datasheet")</f>
        <v>BAW56(LS) Datasheet</v>
      </c>
      <c r="C139" t="s">
        <v>43</v>
      </c>
      <c r="D139" t="s">
        <v>33</v>
      </c>
      <c r="E139" t="s">
        <v>34</v>
      </c>
      <c r="F139" t="s">
        <v>35</v>
      </c>
      <c r="G139" t="s">
        <v>36</v>
      </c>
      <c r="H139">
        <v>225</v>
      </c>
      <c r="I139" t="s">
        <v>33</v>
      </c>
      <c r="J139">
        <v>70</v>
      </c>
      <c r="K139">
        <v>6</v>
      </c>
      <c r="L139">
        <v>200</v>
      </c>
      <c r="M139">
        <v>0.5</v>
      </c>
      <c r="N139">
        <v>150</v>
      </c>
      <c r="O139">
        <v>100</v>
      </c>
      <c r="U139">
        <v>70</v>
      </c>
      <c r="V139">
        <v>6</v>
      </c>
      <c r="W139">
        <v>70</v>
      </c>
      <c r="Y139">
        <v>0.855</v>
      </c>
      <c r="AB139" t="s">
        <v>144</v>
      </c>
      <c r="AD139">
        <v>1.5</v>
      </c>
      <c r="AF139" t="s">
        <v>100</v>
      </c>
    </row>
    <row r="140" spans="1:32">
      <c r="A140" t="str">
        <f>Hyperlink("https://www.diodes.com/part/view/BAW567DW","BAW567DW")</f>
        <v>BAW567DW</v>
      </c>
      <c r="B140" t="str">
        <f>Hyperlink("https://www.diodes.com/assets/Datasheets/ds30147.pdf","BAW567DW Datasheet")</f>
        <v>BAW567DW Datasheet</v>
      </c>
      <c r="C140" t="s">
        <v>32</v>
      </c>
      <c r="D140" t="s">
        <v>39</v>
      </c>
      <c r="E140" t="s">
        <v>34</v>
      </c>
      <c r="F140" t="s">
        <v>150</v>
      </c>
      <c r="G140" t="s">
        <v>36</v>
      </c>
      <c r="H140">
        <v>200</v>
      </c>
      <c r="I140" t="s">
        <v>33</v>
      </c>
      <c r="J140">
        <v>75</v>
      </c>
      <c r="K140">
        <v>4</v>
      </c>
      <c r="L140">
        <v>150</v>
      </c>
      <c r="M140">
        <v>2</v>
      </c>
      <c r="N140">
        <v>1</v>
      </c>
      <c r="O140">
        <v>2.5</v>
      </c>
      <c r="Q140">
        <v>2</v>
      </c>
      <c r="S140">
        <v>1</v>
      </c>
      <c r="U140" t="s">
        <v>147</v>
      </c>
      <c r="V140">
        <v>4</v>
      </c>
      <c r="W140">
        <v>75</v>
      </c>
      <c r="Y140">
        <v>0.855</v>
      </c>
      <c r="AB140" t="s">
        <v>144</v>
      </c>
      <c r="AD140">
        <v>2</v>
      </c>
      <c r="AF140" t="s">
        <v>79</v>
      </c>
    </row>
    <row r="141" spans="1:32">
      <c r="A141" t="str">
        <f>Hyperlink("https://www.diodes.com/part/view/BAW56DW","BAW56DW")</f>
        <v>BAW56DW</v>
      </c>
      <c r="B141" t="str">
        <f>Hyperlink("https://www.diodes.com/assets/Datasheets/ds30146.pdf","BAW56DW Datasheet")</f>
        <v>BAW56DW Datasheet</v>
      </c>
      <c r="C141" t="s">
        <v>32</v>
      </c>
      <c r="D141" t="s">
        <v>39</v>
      </c>
      <c r="E141" t="s">
        <v>34</v>
      </c>
      <c r="F141" t="s">
        <v>159</v>
      </c>
      <c r="G141" t="s">
        <v>36</v>
      </c>
      <c r="H141">
        <v>200</v>
      </c>
      <c r="I141" t="s">
        <v>33</v>
      </c>
      <c r="J141">
        <v>75</v>
      </c>
      <c r="K141">
        <v>4</v>
      </c>
      <c r="L141">
        <v>150</v>
      </c>
      <c r="M141">
        <v>2</v>
      </c>
      <c r="N141">
        <v>1</v>
      </c>
      <c r="O141">
        <v>2.5</v>
      </c>
      <c r="Q141">
        <v>2</v>
      </c>
      <c r="S141">
        <v>1</v>
      </c>
      <c r="U141" t="s">
        <v>143</v>
      </c>
      <c r="V141">
        <v>4</v>
      </c>
      <c r="W141">
        <v>75</v>
      </c>
      <c r="Y141">
        <v>0.855</v>
      </c>
      <c r="AB141" t="s">
        <v>144</v>
      </c>
      <c r="AD141">
        <v>2</v>
      </c>
      <c r="AF141" t="s">
        <v>79</v>
      </c>
    </row>
    <row r="142" spans="1:32">
      <c r="A142" t="str">
        <f>Hyperlink("https://www.diodes.com/part/view/BAW56HDW","BAW56HDW")</f>
        <v>BAW56HDW</v>
      </c>
      <c r="B142" t="str">
        <f>Hyperlink("https://www.diodes.com/assets/Datasheets/BAW56HDW.pdf","BAW56HDW Datasheet")</f>
        <v>BAW56HDW Datasheet</v>
      </c>
      <c r="C142" t="s">
        <v>75</v>
      </c>
      <c r="D142" t="s">
        <v>39</v>
      </c>
      <c r="E142" t="s">
        <v>34</v>
      </c>
      <c r="F142" t="s">
        <v>159</v>
      </c>
      <c r="G142" t="s">
        <v>36</v>
      </c>
      <c r="H142">
        <v>350</v>
      </c>
      <c r="I142" t="s">
        <v>33</v>
      </c>
      <c r="J142">
        <v>100</v>
      </c>
      <c r="K142">
        <v>4</v>
      </c>
      <c r="L142">
        <v>250</v>
      </c>
      <c r="M142">
        <v>4</v>
      </c>
      <c r="N142" t="s">
        <v>77</v>
      </c>
      <c r="O142">
        <v>0.5</v>
      </c>
      <c r="Q142">
        <v>1.5</v>
      </c>
      <c r="S142">
        <v>1</v>
      </c>
      <c r="U142" t="s">
        <v>78</v>
      </c>
      <c r="V142">
        <v>4</v>
      </c>
      <c r="W142">
        <v>80</v>
      </c>
      <c r="Y142">
        <v>0.855</v>
      </c>
      <c r="AB142">
        <v>0.5</v>
      </c>
      <c r="AD142">
        <v>1.5</v>
      </c>
      <c r="AF142" t="s">
        <v>79</v>
      </c>
    </row>
    <row r="143" spans="1:32">
      <c r="A143" t="str">
        <f>Hyperlink("https://www.diodes.com/part/view/BAW56HDWQ","BAW56HDWQ")</f>
        <v>BAW56HDWQ</v>
      </c>
      <c r="B143" t="str">
        <f>Hyperlink("https://www.diodes.com/assets/Datasheets/BAW56HDWQ.pdf","BAW56HDWQ Datasheet")</f>
        <v>BAW56HDWQ Datasheet</v>
      </c>
      <c r="C143" t="s">
        <v>75</v>
      </c>
      <c r="D143" t="s">
        <v>39</v>
      </c>
      <c r="E143" t="s">
        <v>40</v>
      </c>
      <c r="F143" t="s">
        <v>159</v>
      </c>
      <c r="G143" t="s">
        <v>36</v>
      </c>
      <c r="H143">
        <v>350</v>
      </c>
      <c r="I143" t="s">
        <v>33</v>
      </c>
      <c r="J143">
        <v>100</v>
      </c>
      <c r="K143">
        <v>4</v>
      </c>
      <c r="L143">
        <v>250</v>
      </c>
      <c r="M143">
        <v>4</v>
      </c>
      <c r="N143" t="s">
        <v>77</v>
      </c>
      <c r="O143">
        <v>0.5</v>
      </c>
      <c r="Q143">
        <v>1.5</v>
      </c>
      <c r="S143">
        <v>1</v>
      </c>
      <c r="U143" t="s">
        <v>78</v>
      </c>
      <c r="V143">
        <v>4</v>
      </c>
      <c r="W143">
        <v>80</v>
      </c>
      <c r="Y143">
        <v>0.855</v>
      </c>
      <c r="AB143">
        <v>0.5</v>
      </c>
      <c r="AD143">
        <v>1.5</v>
      </c>
      <c r="AF143" t="s">
        <v>79</v>
      </c>
    </row>
    <row r="144" spans="1:32">
      <c r="A144" t="str">
        <f>Hyperlink("https://www.diodes.com/part/view/BAW56T","BAW56T")</f>
        <v>BAW56T</v>
      </c>
      <c r="B144" t="str">
        <f>Hyperlink("https://www.diodes.com/assets/Datasheets/BAS16T_BAW56T_BAV70T_BAV99T.pdf","BAW56T Datasheet")</f>
        <v>BAW56T Datasheet</v>
      </c>
      <c r="C144" t="s">
        <v>32</v>
      </c>
      <c r="D144" t="s">
        <v>39</v>
      </c>
      <c r="E144" t="s">
        <v>34</v>
      </c>
      <c r="F144" t="s">
        <v>140</v>
      </c>
      <c r="G144" t="s">
        <v>36</v>
      </c>
      <c r="H144">
        <v>150</v>
      </c>
      <c r="I144" t="s">
        <v>33</v>
      </c>
      <c r="J144">
        <v>85</v>
      </c>
      <c r="K144">
        <v>4</v>
      </c>
      <c r="L144">
        <v>155</v>
      </c>
      <c r="M144">
        <v>4</v>
      </c>
      <c r="N144">
        <v>1</v>
      </c>
      <c r="O144">
        <v>2</v>
      </c>
      <c r="Q144">
        <v>1.5</v>
      </c>
      <c r="S144">
        <v>1</v>
      </c>
      <c r="U144">
        <v>85</v>
      </c>
      <c r="V144">
        <v>4</v>
      </c>
      <c r="W144">
        <v>75</v>
      </c>
      <c r="Y144">
        <v>0.855</v>
      </c>
      <c r="AB144" t="s">
        <v>155</v>
      </c>
      <c r="AF144" t="s">
        <v>68</v>
      </c>
    </row>
    <row r="145" spans="1:32">
      <c r="A145" t="str">
        <f>Hyperlink("https://www.diodes.com/part/view/BAW56W","BAW56W")</f>
        <v>BAW56W</v>
      </c>
      <c r="B145" t="str">
        <f>Hyperlink("https://www.diodes.com/assets/Datasheets/BAW56W.pdf","BAW56W Datasheet")</f>
        <v>BAW56W Datasheet</v>
      </c>
      <c r="C145" t="s">
        <v>142</v>
      </c>
      <c r="D145" t="s">
        <v>39</v>
      </c>
      <c r="E145" t="s">
        <v>34</v>
      </c>
      <c r="F145" t="s">
        <v>140</v>
      </c>
      <c r="G145" t="s">
        <v>36</v>
      </c>
      <c r="H145">
        <v>200</v>
      </c>
      <c r="I145" t="s">
        <v>33</v>
      </c>
      <c r="J145">
        <v>75</v>
      </c>
      <c r="K145">
        <v>4</v>
      </c>
      <c r="L145">
        <v>150</v>
      </c>
      <c r="M145">
        <v>2</v>
      </c>
      <c r="N145">
        <v>1</v>
      </c>
      <c r="O145">
        <v>2.5</v>
      </c>
      <c r="Q145">
        <v>2</v>
      </c>
      <c r="S145">
        <v>1</v>
      </c>
      <c r="U145" t="s">
        <v>147</v>
      </c>
      <c r="V145">
        <v>4</v>
      </c>
      <c r="W145">
        <v>75</v>
      </c>
      <c r="Y145">
        <v>0.855</v>
      </c>
      <c r="AB145" t="s">
        <v>144</v>
      </c>
      <c r="AD145">
        <v>2</v>
      </c>
      <c r="AF145" t="s">
        <v>97</v>
      </c>
    </row>
    <row r="146" spans="1:32">
      <c r="A146" t="str">
        <f>Hyperlink("https://www.diodes.com/part/view/DHVSD3004AS","DHVSD3004AS")</f>
        <v>DHVSD3004AS</v>
      </c>
      <c r="B146" t="str">
        <f>Hyperlink("https://www.diodes.com/assets/Datasheets/DHVSD3004AS_CS_SS.pdf","DHVSD3004AS/CS/SS Datasheet")</f>
        <v>DHVSD3004AS/CS/SS Datasheet</v>
      </c>
      <c r="C146" t="s">
        <v>160</v>
      </c>
      <c r="D146" t="s">
        <v>33</v>
      </c>
      <c r="E146" t="s">
        <v>34</v>
      </c>
      <c r="F146" t="s">
        <v>140</v>
      </c>
      <c r="G146" t="s">
        <v>36</v>
      </c>
      <c r="H146">
        <v>325</v>
      </c>
      <c r="I146" t="s">
        <v>33</v>
      </c>
      <c r="J146">
        <v>350</v>
      </c>
      <c r="K146">
        <v>50</v>
      </c>
      <c r="M146" t="s">
        <v>161</v>
      </c>
      <c r="N146" t="s">
        <v>162</v>
      </c>
      <c r="O146" t="s">
        <v>163</v>
      </c>
      <c r="P146">
        <v>350</v>
      </c>
      <c r="Q146">
        <v>5</v>
      </c>
      <c r="R146">
        <v>0.87</v>
      </c>
      <c r="S146">
        <v>0.995</v>
      </c>
      <c r="T146">
        <v>1.15</v>
      </c>
      <c r="V146">
        <v>50</v>
      </c>
      <c r="W146" t="s">
        <v>163</v>
      </c>
      <c r="AC146">
        <v>0.1</v>
      </c>
      <c r="AD146">
        <v>5</v>
      </c>
      <c r="AF146" t="s">
        <v>65</v>
      </c>
    </row>
    <row r="147" spans="1:32">
      <c r="A147" t="str">
        <f>Hyperlink("https://www.diodes.com/part/view/DHVSD3004ASQ","DHVSD3004ASQ")</f>
        <v>DHVSD3004ASQ</v>
      </c>
      <c r="B147" t="str">
        <f>Hyperlink("https://www.diodes.com/assets/Datasheets/DHVSD3004ASQ_CSQ_SSQ.pdf","DHVSD3004ASQ/CSQ/SSQ Datasheet")</f>
        <v>DHVSD3004ASQ/CSQ/SSQ Datasheet</v>
      </c>
      <c r="C147" t="s">
        <v>160</v>
      </c>
      <c r="D147" t="s">
        <v>39</v>
      </c>
      <c r="E147" t="s">
        <v>40</v>
      </c>
      <c r="F147" t="s">
        <v>140</v>
      </c>
      <c r="G147" t="s">
        <v>36</v>
      </c>
      <c r="H147">
        <v>325</v>
      </c>
      <c r="I147" t="s">
        <v>33</v>
      </c>
      <c r="J147">
        <v>350</v>
      </c>
      <c r="K147">
        <v>50</v>
      </c>
      <c r="M147" t="s">
        <v>161</v>
      </c>
      <c r="N147" t="s">
        <v>162</v>
      </c>
      <c r="O147" t="s">
        <v>163</v>
      </c>
      <c r="P147">
        <v>350</v>
      </c>
      <c r="Q147">
        <v>5</v>
      </c>
      <c r="R147">
        <v>0.87</v>
      </c>
      <c r="S147">
        <v>0.995</v>
      </c>
      <c r="T147">
        <v>1.15</v>
      </c>
      <c r="V147">
        <v>50</v>
      </c>
      <c r="W147" t="s">
        <v>163</v>
      </c>
      <c r="AC147">
        <v>0.1</v>
      </c>
      <c r="AD147">
        <v>5</v>
      </c>
      <c r="AF147" t="s">
        <v>65</v>
      </c>
    </row>
    <row r="148" spans="1:32">
      <c r="A148" t="str">
        <f>Hyperlink("https://www.diodes.com/part/view/DHVSD3004CS","DHVSD3004CS")</f>
        <v>DHVSD3004CS</v>
      </c>
      <c r="B148" t="str">
        <f>Hyperlink("https://www.diodes.com/assets/Datasheets/DHVSD3004AS_CS_SS.pdf","DHVSD3004AS/CS/SS Datasheet")</f>
        <v>DHVSD3004AS/CS/SS Datasheet</v>
      </c>
      <c r="C148" t="s">
        <v>160</v>
      </c>
      <c r="D148" t="s">
        <v>33</v>
      </c>
      <c r="E148" t="s">
        <v>34</v>
      </c>
      <c r="F148" t="s">
        <v>129</v>
      </c>
      <c r="G148" t="s">
        <v>36</v>
      </c>
      <c r="H148">
        <v>325</v>
      </c>
      <c r="I148" t="s">
        <v>33</v>
      </c>
      <c r="J148">
        <v>350</v>
      </c>
      <c r="K148">
        <v>50</v>
      </c>
      <c r="M148" t="s">
        <v>161</v>
      </c>
      <c r="N148" t="s">
        <v>162</v>
      </c>
      <c r="O148" t="s">
        <v>163</v>
      </c>
      <c r="P148">
        <v>350</v>
      </c>
      <c r="Q148">
        <v>5</v>
      </c>
      <c r="R148">
        <v>0.87</v>
      </c>
      <c r="S148">
        <v>0.995</v>
      </c>
      <c r="T148">
        <v>1.15</v>
      </c>
      <c r="V148">
        <v>50</v>
      </c>
      <c r="W148" t="s">
        <v>163</v>
      </c>
      <c r="AC148">
        <v>0.1</v>
      </c>
      <c r="AD148">
        <v>5</v>
      </c>
      <c r="AF148" t="s">
        <v>65</v>
      </c>
    </row>
    <row r="149" spans="1:32">
      <c r="A149" t="str">
        <f>Hyperlink("https://www.diodes.com/part/view/DHVSD3004CSQ","DHVSD3004CSQ")</f>
        <v>DHVSD3004CSQ</v>
      </c>
      <c r="B149" t="str">
        <f>Hyperlink("https://www.diodes.com/assets/Datasheets/DHVSD3004ASQ_CSQ_SSQ.pdf","DHVSD3004ASQ/CSQ/SSQ Datasheet")</f>
        <v>DHVSD3004ASQ/CSQ/SSQ Datasheet</v>
      </c>
      <c r="C149" t="s">
        <v>160</v>
      </c>
      <c r="D149" t="s">
        <v>39</v>
      </c>
      <c r="E149" t="s">
        <v>40</v>
      </c>
      <c r="F149" t="s">
        <v>129</v>
      </c>
      <c r="G149" t="s">
        <v>36</v>
      </c>
      <c r="H149">
        <v>325</v>
      </c>
      <c r="I149" t="s">
        <v>33</v>
      </c>
      <c r="J149">
        <v>350</v>
      </c>
      <c r="K149">
        <v>50</v>
      </c>
      <c r="M149" t="s">
        <v>161</v>
      </c>
      <c r="N149" t="s">
        <v>162</v>
      </c>
      <c r="O149" t="s">
        <v>163</v>
      </c>
      <c r="P149">
        <v>350</v>
      </c>
      <c r="Q149">
        <v>5</v>
      </c>
      <c r="R149">
        <v>0.87</v>
      </c>
      <c r="S149">
        <v>0.995</v>
      </c>
      <c r="T149">
        <v>1.15</v>
      </c>
      <c r="V149">
        <v>50</v>
      </c>
      <c r="W149" t="s">
        <v>163</v>
      </c>
      <c r="AC149">
        <v>0.1</v>
      </c>
      <c r="AD149">
        <v>5</v>
      </c>
      <c r="AF149" t="s">
        <v>65</v>
      </c>
    </row>
    <row r="150" spans="1:32">
      <c r="A150" t="str">
        <f>Hyperlink("https://www.diodes.com/part/view/DHVSD3004S1","DHVSD3004S1")</f>
        <v>DHVSD3004S1</v>
      </c>
      <c r="B150" t="str">
        <f>Hyperlink("https://www.diodes.com/assets/Datasheets/DHVSD3004S1.pdf","DHVSD3004S1 Datasheet")</f>
        <v>DHVSD3004S1 Datasheet</v>
      </c>
      <c r="C150" t="s">
        <v>164</v>
      </c>
      <c r="D150" t="s">
        <v>33</v>
      </c>
      <c r="E150" t="s">
        <v>34</v>
      </c>
      <c r="F150" t="s">
        <v>35</v>
      </c>
      <c r="G150" t="s">
        <v>36</v>
      </c>
      <c r="H150">
        <v>350</v>
      </c>
      <c r="I150" t="s">
        <v>33</v>
      </c>
      <c r="J150">
        <v>350</v>
      </c>
      <c r="K150">
        <v>50</v>
      </c>
      <c r="L150">
        <v>225</v>
      </c>
      <c r="M150" t="s">
        <v>165</v>
      </c>
      <c r="N150" t="s">
        <v>166</v>
      </c>
      <c r="O150">
        <v>0.5</v>
      </c>
      <c r="P150">
        <v>350</v>
      </c>
      <c r="Q150">
        <v>5</v>
      </c>
      <c r="R150">
        <v>0.87</v>
      </c>
      <c r="S150">
        <v>0.998</v>
      </c>
      <c r="T150">
        <v>1.15</v>
      </c>
      <c r="V150" t="s">
        <v>167</v>
      </c>
      <c r="W150" t="s">
        <v>168</v>
      </c>
      <c r="AC150">
        <v>0.1</v>
      </c>
      <c r="AD150">
        <v>5</v>
      </c>
      <c r="AF150" t="s">
        <v>38</v>
      </c>
    </row>
    <row r="151" spans="1:32">
      <c r="A151" t="str">
        <f>Hyperlink("https://www.diodes.com/part/view/DHVSD3004S1Q","DHVSD3004S1Q")</f>
        <v>DHVSD3004S1Q</v>
      </c>
      <c r="B151" t="str">
        <f>Hyperlink("https://www.diodes.com/assets/Datasheets/DHVSD3004S1Q.pdf","DHVSD3004S1Q Datasheet")</f>
        <v>DHVSD3004S1Q Datasheet</v>
      </c>
      <c r="C151" t="s">
        <v>164</v>
      </c>
      <c r="D151" t="s">
        <v>39</v>
      </c>
      <c r="E151" t="s">
        <v>40</v>
      </c>
      <c r="F151" t="s">
        <v>35</v>
      </c>
      <c r="G151" t="s">
        <v>36</v>
      </c>
      <c r="H151">
        <v>350</v>
      </c>
      <c r="I151" t="s">
        <v>33</v>
      </c>
      <c r="J151">
        <v>350</v>
      </c>
      <c r="K151">
        <v>50</v>
      </c>
      <c r="L151">
        <v>225</v>
      </c>
      <c r="M151" t="s">
        <v>169</v>
      </c>
      <c r="N151" t="s">
        <v>166</v>
      </c>
      <c r="O151">
        <v>0.1</v>
      </c>
      <c r="P151">
        <v>350</v>
      </c>
      <c r="Q151">
        <v>5</v>
      </c>
      <c r="R151">
        <v>0.87</v>
      </c>
      <c r="S151">
        <v>0.998</v>
      </c>
      <c r="T151">
        <v>1.15</v>
      </c>
      <c r="V151" t="s">
        <v>167</v>
      </c>
      <c r="W151" t="s">
        <v>170</v>
      </c>
      <c r="AC151">
        <v>0.1</v>
      </c>
      <c r="AD151">
        <v>5</v>
      </c>
      <c r="AF151" t="s">
        <v>38</v>
      </c>
    </row>
    <row r="152" spans="1:32">
      <c r="A152" t="str">
        <f>Hyperlink("https://www.diodes.com/part/view/DHVSD3004SS","DHVSD3004SS")</f>
        <v>DHVSD3004SS</v>
      </c>
      <c r="B152" t="str">
        <f>Hyperlink("https://www.diodes.com/assets/Datasheets/DHVSD3004AS_CS_SS.pdf","DHVSD3004AS/CS/SS Datasheet")</f>
        <v>DHVSD3004AS/CS/SS Datasheet</v>
      </c>
      <c r="C152" t="s">
        <v>160</v>
      </c>
      <c r="D152" t="s">
        <v>33</v>
      </c>
      <c r="E152" t="s">
        <v>34</v>
      </c>
      <c r="F152" t="s">
        <v>116</v>
      </c>
      <c r="G152" t="s">
        <v>36</v>
      </c>
      <c r="H152">
        <v>325</v>
      </c>
      <c r="I152" t="s">
        <v>33</v>
      </c>
      <c r="J152">
        <v>350</v>
      </c>
      <c r="K152">
        <v>50</v>
      </c>
      <c r="M152" t="s">
        <v>161</v>
      </c>
      <c r="N152" t="s">
        <v>162</v>
      </c>
      <c r="O152" t="s">
        <v>163</v>
      </c>
      <c r="P152">
        <v>350</v>
      </c>
      <c r="Q152">
        <v>5</v>
      </c>
      <c r="R152">
        <v>0.87</v>
      </c>
      <c r="S152">
        <v>0.995</v>
      </c>
      <c r="T152">
        <v>1.15</v>
      </c>
      <c r="V152">
        <v>50</v>
      </c>
      <c r="W152" t="s">
        <v>163</v>
      </c>
      <c r="AC152">
        <v>0.1</v>
      </c>
      <c r="AD152">
        <v>5</v>
      </c>
      <c r="AF152" t="s">
        <v>65</v>
      </c>
    </row>
    <row r="153" spans="1:32">
      <c r="A153" t="str">
        <f>Hyperlink("https://www.diodes.com/part/view/DHVSD3004SSQ","DHVSD3004SSQ")</f>
        <v>DHVSD3004SSQ</v>
      </c>
      <c r="B153" t="str">
        <f>Hyperlink("https://www.diodes.com/assets/Datasheets/DHVSD3004ASQ_CSQ_SSQ.pdf","DHVSD3004ASQ/CSQ/SSQ Datasheet")</f>
        <v>DHVSD3004ASQ/CSQ/SSQ Datasheet</v>
      </c>
      <c r="C153" t="s">
        <v>160</v>
      </c>
      <c r="D153" t="s">
        <v>39</v>
      </c>
      <c r="E153" t="s">
        <v>40</v>
      </c>
      <c r="F153" t="s">
        <v>116</v>
      </c>
      <c r="G153" t="s">
        <v>36</v>
      </c>
      <c r="H153">
        <v>325</v>
      </c>
      <c r="I153" t="s">
        <v>33</v>
      </c>
      <c r="J153">
        <v>350</v>
      </c>
      <c r="K153">
        <v>50</v>
      </c>
      <c r="M153" t="s">
        <v>161</v>
      </c>
      <c r="N153" t="s">
        <v>162</v>
      </c>
      <c r="O153" t="s">
        <v>163</v>
      </c>
      <c r="P153">
        <v>350</v>
      </c>
      <c r="Q153">
        <v>5</v>
      </c>
      <c r="R153">
        <v>0.87</v>
      </c>
      <c r="S153">
        <v>0.995</v>
      </c>
      <c r="T153">
        <v>1.15</v>
      </c>
      <c r="V153">
        <v>50</v>
      </c>
      <c r="W153" t="s">
        <v>163</v>
      </c>
      <c r="AC153">
        <v>0.1</v>
      </c>
      <c r="AD153">
        <v>5</v>
      </c>
      <c r="AF153" t="s">
        <v>65</v>
      </c>
    </row>
    <row r="154" spans="1:32">
      <c r="A154" t="str">
        <f>Hyperlink("https://www.diodes.com/part/view/DHVSD521LP","DHVSD521LP")</f>
        <v>DHVSD521LP</v>
      </c>
      <c r="B154" t="str">
        <f>Hyperlink("https://www.diodes.com/assets/Datasheets/DHVSD521LP.pdf","DHVSD521LP Datasheet")</f>
        <v>DHVSD521LP Datasheet</v>
      </c>
      <c r="C154" t="s">
        <v>171</v>
      </c>
      <c r="D154" t="s">
        <v>33</v>
      </c>
      <c r="E154" t="s">
        <v>34</v>
      </c>
      <c r="F154" t="s">
        <v>35</v>
      </c>
      <c r="G154" t="s">
        <v>36</v>
      </c>
      <c r="H154">
        <v>400</v>
      </c>
      <c r="I154" t="s">
        <v>33</v>
      </c>
      <c r="J154">
        <v>325</v>
      </c>
      <c r="K154">
        <v>50</v>
      </c>
      <c r="L154">
        <v>400</v>
      </c>
      <c r="M154">
        <v>8</v>
      </c>
      <c r="N154" t="s">
        <v>172</v>
      </c>
      <c r="O154">
        <v>0.15</v>
      </c>
      <c r="Q154">
        <v>5</v>
      </c>
      <c r="S154">
        <v>1.1</v>
      </c>
      <c r="U154">
        <v>325</v>
      </c>
      <c r="V154">
        <v>50</v>
      </c>
      <c r="W154" t="s">
        <v>173</v>
      </c>
      <c r="Z154">
        <v>0.05</v>
      </c>
      <c r="AC154" t="s">
        <v>174</v>
      </c>
      <c r="AD154">
        <v>5</v>
      </c>
      <c r="AF154" t="s">
        <v>52</v>
      </c>
    </row>
    <row r="155" spans="1:32">
      <c r="A155" t="str">
        <f>Hyperlink("https://www.diodes.com/part/view/DHVSD521T5","DHVSD521T5")</f>
        <v>DHVSD521T5</v>
      </c>
      <c r="B155" t="str">
        <f>Hyperlink("https://www.diodes.com/assets/Datasheets/DHVSD521T5.pdf","DHVSD521T5 Datasheet")</f>
        <v>DHVSD521T5 Datasheet</v>
      </c>
      <c r="C155" t="s">
        <v>175</v>
      </c>
      <c r="D155" t="s">
        <v>33</v>
      </c>
      <c r="E155" t="s">
        <v>176</v>
      </c>
      <c r="F155" t="s">
        <v>35</v>
      </c>
      <c r="G155" t="s">
        <v>36</v>
      </c>
      <c r="H155">
        <v>300</v>
      </c>
      <c r="I155" t="s">
        <v>33</v>
      </c>
      <c r="J155">
        <v>300</v>
      </c>
      <c r="K155">
        <v>50</v>
      </c>
      <c r="M155" t="s">
        <v>177</v>
      </c>
      <c r="N155" t="s">
        <v>178</v>
      </c>
      <c r="O155" t="s">
        <v>179</v>
      </c>
      <c r="Q155">
        <v>5</v>
      </c>
      <c r="S155">
        <v>1.1</v>
      </c>
      <c r="U155">
        <v>300</v>
      </c>
      <c r="V155">
        <v>50</v>
      </c>
      <c r="W155" t="s">
        <v>179</v>
      </c>
      <c r="AC155">
        <v>0.15</v>
      </c>
      <c r="AD155">
        <v>5</v>
      </c>
      <c r="AF155" t="s">
        <v>50</v>
      </c>
    </row>
    <row r="156" spans="1:32">
      <c r="A156" t="str">
        <f>Hyperlink("https://www.diodes.com/part/view/DLLFSD01LP3","DLLFSD01LP3")</f>
        <v>DLLFSD01LP3</v>
      </c>
      <c r="B156" t="str">
        <f>Hyperlink("https://www.diodes.com/assets/Datasheets/DLLFSD01LP3.pdf","DLLFSD01LP3 Datasheet")</f>
        <v>DLLFSD01LP3 Datasheet</v>
      </c>
      <c r="C156" t="s">
        <v>180</v>
      </c>
      <c r="D156" t="s">
        <v>33</v>
      </c>
      <c r="E156" t="s">
        <v>34</v>
      </c>
      <c r="F156" t="s">
        <v>35</v>
      </c>
      <c r="G156" t="s">
        <v>36</v>
      </c>
      <c r="H156">
        <v>200</v>
      </c>
      <c r="I156" t="s">
        <v>33</v>
      </c>
      <c r="J156">
        <v>80</v>
      </c>
      <c r="K156">
        <v>4</v>
      </c>
      <c r="L156">
        <v>100</v>
      </c>
      <c r="M156">
        <v>2</v>
      </c>
      <c r="N156" t="s">
        <v>181</v>
      </c>
      <c r="O156">
        <v>0.01</v>
      </c>
      <c r="Q156">
        <v>0.5</v>
      </c>
      <c r="S156">
        <v>1</v>
      </c>
      <c r="U156">
        <v>80</v>
      </c>
      <c r="V156">
        <v>4</v>
      </c>
      <c r="W156">
        <v>80</v>
      </c>
      <c r="Y156">
        <v>0.855</v>
      </c>
      <c r="AB156">
        <v>0.2</v>
      </c>
      <c r="AD156">
        <v>2.5</v>
      </c>
      <c r="AF156" t="s">
        <v>58</v>
      </c>
    </row>
    <row r="157" spans="1:32">
      <c r="A157" t="str">
        <f>Hyperlink("https://www.diodes.com/part/view/DLLFSD01LP3Q","DLLFSD01LP3Q")</f>
        <v>DLLFSD01LP3Q</v>
      </c>
      <c r="B157" t="str">
        <f>Hyperlink("https://www.diodes.com/assets/Datasheets/DLLFSD01LP3Q.pdf","DLLFSD01LP3Q Datasheet")</f>
        <v>DLLFSD01LP3Q Datasheet</v>
      </c>
      <c r="C157" t="s">
        <v>180</v>
      </c>
      <c r="D157" t="s">
        <v>39</v>
      </c>
      <c r="E157" t="s">
        <v>40</v>
      </c>
      <c r="F157" t="s">
        <v>35</v>
      </c>
      <c r="G157" t="s">
        <v>36</v>
      </c>
      <c r="H157">
        <v>200</v>
      </c>
      <c r="I157" t="s">
        <v>33</v>
      </c>
      <c r="J157">
        <v>80</v>
      </c>
      <c r="K157">
        <v>4</v>
      </c>
      <c r="M157">
        <v>2</v>
      </c>
      <c r="N157" t="s">
        <v>182</v>
      </c>
      <c r="O157" t="s">
        <v>183</v>
      </c>
      <c r="Q157">
        <v>0.5</v>
      </c>
      <c r="U157">
        <v>80</v>
      </c>
      <c r="W157" t="s">
        <v>184</v>
      </c>
      <c r="X157">
        <v>0.7</v>
      </c>
      <c r="Y157">
        <v>0.82</v>
      </c>
      <c r="AD157">
        <v>2.5</v>
      </c>
      <c r="AF157" t="s">
        <v>58</v>
      </c>
    </row>
    <row r="158" spans="1:32">
      <c r="A158" t="str">
        <f>Hyperlink("https://www.diodes.com/part/view/DLLFSD01LPH4","DLLFSD01LPH4")</f>
        <v>DLLFSD01LPH4</v>
      </c>
      <c r="B158" t="str">
        <f>Hyperlink("https://www.diodes.com/assets/Datasheets/DLLFSD01LPH4.pdf","DLLFSD01LPH4 Datasheet")</f>
        <v>DLLFSD01LPH4 Datasheet</v>
      </c>
      <c r="C158" t="s">
        <v>180</v>
      </c>
      <c r="D158" t="s">
        <v>33</v>
      </c>
      <c r="E158" t="s">
        <v>34</v>
      </c>
      <c r="F158" t="s">
        <v>35</v>
      </c>
      <c r="G158" t="s">
        <v>185</v>
      </c>
      <c r="H158">
        <v>350</v>
      </c>
      <c r="I158" t="s">
        <v>33</v>
      </c>
      <c r="J158">
        <v>80</v>
      </c>
      <c r="K158">
        <v>4</v>
      </c>
      <c r="L158">
        <v>100</v>
      </c>
      <c r="M158">
        <v>2</v>
      </c>
      <c r="N158" t="s">
        <v>186</v>
      </c>
      <c r="O158" t="s">
        <v>187</v>
      </c>
      <c r="Q158">
        <v>0.5</v>
      </c>
      <c r="S158">
        <v>1</v>
      </c>
      <c r="U158">
        <v>80</v>
      </c>
      <c r="V158">
        <v>4</v>
      </c>
      <c r="W158">
        <v>80</v>
      </c>
      <c r="Y158">
        <v>0.855</v>
      </c>
      <c r="AB158">
        <v>0.2</v>
      </c>
      <c r="AD158">
        <v>2.5</v>
      </c>
      <c r="AF158" t="s">
        <v>60</v>
      </c>
    </row>
    <row r="159" spans="1:32">
      <c r="A159" t="str">
        <f>Hyperlink("https://www.diodes.com/part/view/DLLFSD01T","DLLFSD01T")</f>
        <v>DLLFSD01T</v>
      </c>
      <c r="B159" t="str">
        <f>Hyperlink("https://www.diodes.com/assets/Datasheets/DLLFSD01T.pdf","DLLFSD01T Datasheet")</f>
        <v>DLLFSD01T Datasheet</v>
      </c>
      <c r="C159" t="s">
        <v>180</v>
      </c>
      <c r="D159" t="s">
        <v>33</v>
      </c>
      <c r="E159" t="s">
        <v>34</v>
      </c>
      <c r="F159" t="s">
        <v>35</v>
      </c>
      <c r="G159" t="s">
        <v>185</v>
      </c>
      <c r="H159">
        <v>150</v>
      </c>
      <c r="I159" t="s">
        <v>33</v>
      </c>
      <c r="J159">
        <v>80</v>
      </c>
      <c r="K159">
        <v>4</v>
      </c>
      <c r="L159">
        <v>100</v>
      </c>
      <c r="M159">
        <v>2</v>
      </c>
      <c r="N159" t="s">
        <v>186</v>
      </c>
      <c r="O159" t="s">
        <v>188</v>
      </c>
      <c r="Q159">
        <v>0.5</v>
      </c>
      <c r="S159">
        <v>1</v>
      </c>
      <c r="U159">
        <v>80</v>
      </c>
      <c r="V159">
        <v>4</v>
      </c>
      <c r="W159">
        <v>80</v>
      </c>
      <c r="Y159">
        <v>0.855</v>
      </c>
      <c r="AB159">
        <v>0.2</v>
      </c>
      <c r="AD159">
        <v>2.5</v>
      </c>
      <c r="AF159" t="s">
        <v>50</v>
      </c>
    </row>
    <row r="160" spans="1:32">
      <c r="A160" t="str">
        <f>Hyperlink("https://www.diodes.com/part/view/DLPA004","DLPA004")</f>
        <v>DLPA004</v>
      </c>
      <c r="B160" t="str">
        <f>Hyperlink("https://www.diodes.com/assets/Datasheets/ds31593.pdf","DLPA004 Datasheet")</f>
        <v>DLPA004 Datasheet</v>
      </c>
      <c r="C160" t="s">
        <v>54</v>
      </c>
      <c r="D160" t="s">
        <v>33</v>
      </c>
      <c r="E160" t="s">
        <v>34</v>
      </c>
      <c r="F160" t="s">
        <v>189</v>
      </c>
      <c r="G160" t="s">
        <v>36</v>
      </c>
      <c r="H160">
        <v>200</v>
      </c>
      <c r="I160" t="s">
        <v>33</v>
      </c>
      <c r="J160">
        <v>85</v>
      </c>
      <c r="K160">
        <v>3000</v>
      </c>
      <c r="L160">
        <v>450</v>
      </c>
      <c r="M160">
        <v>1</v>
      </c>
      <c r="N160">
        <v>0.9</v>
      </c>
      <c r="O160">
        <v>2.5</v>
      </c>
      <c r="Q160">
        <v>2</v>
      </c>
      <c r="S160">
        <v>1</v>
      </c>
      <c r="U160">
        <v>85</v>
      </c>
      <c r="V160">
        <v>3000</v>
      </c>
      <c r="W160">
        <v>70</v>
      </c>
      <c r="Y160">
        <v>0.855</v>
      </c>
      <c r="AB160" t="s">
        <v>190</v>
      </c>
      <c r="AD160">
        <v>3</v>
      </c>
      <c r="AF160" t="s">
        <v>79</v>
      </c>
    </row>
    <row r="161" spans="1:32">
      <c r="A161" t="str">
        <f>Hyperlink("https://www.diodes.com/part/view/LL4148%28LS%29","LL4148(LS)")</f>
        <v>LL4148(LS)</v>
      </c>
      <c r="B161" t="str">
        <f>Hyperlink("https://www.diodes.com/assets/Datasheets/LL4148_LS.pdf","LL4148(LS) Datasheet")</f>
        <v>LL4148(LS) Datasheet</v>
      </c>
      <c r="C161" t="s">
        <v>43</v>
      </c>
      <c r="D161" t="s">
        <v>33</v>
      </c>
      <c r="E161" t="s">
        <v>34</v>
      </c>
      <c r="F161" t="s">
        <v>35</v>
      </c>
      <c r="G161" t="s">
        <v>36</v>
      </c>
      <c r="H161">
        <v>500</v>
      </c>
      <c r="I161" t="s">
        <v>33</v>
      </c>
      <c r="J161">
        <v>75</v>
      </c>
      <c r="K161">
        <v>4</v>
      </c>
      <c r="L161">
        <v>150</v>
      </c>
      <c r="M161">
        <v>0.45</v>
      </c>
      <c r="N161">
        <v>10</v>
      </c>
      <c r="O161">
        <v>100</v>
      </c>
      <c r="U161">
        <v>75</v>
      </c>
      <c r="V161">
        <v>4</v>
      </c>
      <c r="W161">
        <v>100</v>
      </c>
      <c r="Y161">
        <v>1</v>
      </c>
      <c r="AB161" t="s">
        <v>44</v>
      </c>
      <c r="AD161">
        <v>4</v>
      </c>
      <c r="AF161" t="s">
        <v>191</v>
      </c>
    </row>
    <row r="162" spans="1:32">
      <c r="A162" t="str">
        <f>Hyperlink("https://www.diodes.com/part/view/MMBD2004S","MMBD2004S")</f>
        <v>MMBD2004S</v>
      </c>
      <c r="B162" t="str">
        <f>Hyperlink("https://www.diodes.com/assets/Datasheets/ds30281.pdf","MMBD2004S Datasheet")</f>
        <v>MMBD2004S Datasheet</v>
      </c>
      <c r="C162" t="s">
        <v>32</v>
      </c>
      <c r="D162" t="s">
        <v>39</v>
      </c>
      <c r="E162" t="s">
        <v>34</v>
      </c>
      <c r="F162" t="s">
        <v>116</v>
      </c>
      <c r="G162" t="s">
        <v>36</v>
      </c>
      <c r="H162">
        <v>350</v>
      </c>
      <c r="I162" t="s">
        <v>33</v>
      </c>
      <c r="J162">
        <v>300</v>
      </c>
      <c r="K162">
        <v>50</v>
      </c>
      <c r="L162">
        <v>225</v>
      </c>
      <c r="M162">
        <v>4</v>
      </c>
      <c r="N162">
        <v>1</v>
      </c>
      <c r="O162">
        <v>0.1</v>
      </c>
      <c r="Q162">
        <v>5</v>
      </c>
      <c r="S162">
        <v>1</v>
      </c>
      <c r="U162">
        <v>300</v>
      </c>
      <c r="V162">
        <v>50</v>
      </c>
      <c r="W162">
        <v>240</v>
      </c>
      <c r="Y162">
        <v>0.855</v>
      </c>
      <c r="AB162" t="s">
        <v>192</v>
      </c>
      <c r="AD162">
        <v>5</v>
      </c>
      <c r="AF162" t="s">
        <v>65</v>
      </c>
    </row>
    <row r="163" spans="1:32">
      <c r="A163" t="str">
        <f>Hyperlink("https://www.diodes.com/part/view/MMBD2004SQ","MMBD2004SQ")</f>
        <v>MMBD2004SQ</v>
      </c>
      <c r="B163" t="str">
        <f>Hyperlink("https://www.diodes.com/assets/Datasheets/MMBD2004SQ.pdf","MMBD2004SQ Datasheet")</f>
        <v>MMBD2004SQ Datasheet</v>
      </c>
      <c r="C163" t="s">
        <v>32</v>
      </c>
      <c r="D163" t="s">
        <v>39</v>
      </c>
      <c r="E163" t="s">
        <v>40</v>
      </c>
      <c r="F163" t="s">
        <v>116</v>
      </c>
      <c r="G163" t="s">
        <v>36</v>
      </c>
      <c r="H163">
        <v>350</v>
      </c>
      <c r="I163" t="s">
        <v>33</v>
      </c>
      <c r="J163">
        <v>300</v>
      </c>
      <c r="K163">
        <v>50</v>
      </c>
      <c r="L163">
        <v>225</v>
      </c>
      <c r="M163">
        <v>4</v>
      </c>
      <c r="N163">
        <v>1</v>
      </c>
      <c r="O163">
        <v>0.1</v>
      </c>
      <c r="Q163">
        <v>5</v>
      </c>
      <c r="S163">
        <v>1</v>
      </c>
      <c r="U163">
        <v>300</v>
      </c>
      <c r="V163">
        <v>50</v>
      </c>
      <c r="W163">
        <v>240</v>
      </c>
      <c r="Y163">
        <v>0.855</v>
      </c>
      <c r="AB163" t="s">
        <v>192</v>
      </c>
      <c r="AD163">
        <v>5</v>
      </c>
      <c r="AF163" t="s">
        <v>65</v>
      </c>
    </row>
    <row r="164" spans="1:32">
      <c r="A164" t="str">
        <f>Hyperlink("https://www.diodes.com/part/view/MMBD2004SW","MMBD2004SW")</f>
        <v>MMBD2004SW</v>
      </c>
      <c r="B164" t="str">
        <f>Hyperlink("https://www.diodes.com/assets/Datasheets/ds30443.pdf","MMBD2004SW Datasheet")</f>
        <v>MMBD2004SW Datasheet</v>
      </c>
      <c r="C164" t="s">
        <v>32</v>
      </c>
      <c r="D164" t="s">
        <v>33</v>
      </c>
      <c r="E164" t="s">
        <v>34</v>
      </c>
      <c r="F164" t="s">
        <v>116</v>
      </c>
      <c r="G164" t="s">
        <v>36</v>
      </c>
      <c r="H164">
        <v>250</v>
      </c>
      <c r="I164" t="s">
        <v>33</v>
      </c>
      <c r="J164">
        <v>300</v>
      </c>
      <c r="K164">
        <v>50</v>
      </c>
      <c r="L164">
        <v>225</v>
      </c>
      <c r="M164">
        <v>4</v>
      </c>
      <c r="N164">
        <v>1</v>
      </c>
      <c r="O164">
        <v>0.1</v>
      </c>
      <c r="Q164">
        <v>5</v>
      </c>
      <c r="S164">
        <v>1</v>
      </c>
      <c r="U164">
        <v>300</v>
      </c>
      <c r="V164">
        <v>50</v>
      </c>
      <c r="W164">
        <v>240</v>
      </c>
      <c r="Y164">
        <v>0.855</v>
      </c>
      <c r="AB164" t="s">
        <v>192</v>
      </c>
      <c r="AD164">
        <v>5</v>
      </c>
      <c r="AF164" t="s">
        <v>97</v>
      </c>
    </row>
    <row r="165" spans="1:32">
      <c r="A165" t="str">
        <f>Hyperlink("https://www.diodes.com/part/view/MMBD4148","MMBD4148")</f>
        <v>MMBD4148</v>
      </c>
      <c r="B165" t="str">
        <f>Hyperlink("https://www.diodes.com/assets/Datasheets/BAS16_MMBD4148_MMBD914.pdf","MMBD4148 Datasheet")</f>
        <v>MMBD4148 Datasheet</v>
      </c>
      <c r="C165" t="s">
        <v>32</v>
      </c>
      <c r="D165" t="s">
        <v>33</v>
      </c>
      <c r="E165" t="s">
        <v>34</v>
      </c>
      <c r="F165" t="s">
        <v>35</v>
      </c>
      <c r="G165" t="s">
        <v>36</v>
      </c>
      <c r="H165">
        <v>350</v>
      </c>
      <c r="I165" t="s">
        <v>33</v>
      </c>
      <c r="J165">
        <v>75</v>
      </c>
      <c r="K165">
        <v>4</v>
      </c>
      <c r="L165">
        <v>200</v>
      </c>
      <c r="M165">
        <v>2</v>
      </c>
      <c r="N165">
        <v>1</v>
      </c>
      <c r="O165">
        <v>1</v>
      </c>
      <c r="Q165">
        <v>2</v>
      </c>
      <c r="S165">
        <v>1.1</v>
      </c>
      <c r="U165">
        <v>75</v>
      </c>
      <c r="V165">
        <v>4</v>
      </c>
      <c r="W165">
        <v>75</v>
      </c>
      <c r="AB165" t="s">
        <v>70</v>
      </c>
      <c r="AD165">
        <v>2</v>
      </c>
      <c r="AF165" t="s">
        <v>65</v>
      </c>
    </row>
    <row r="166" spans="1:32">
      <c r="A166" t="str">
        <f>Hyperlink("https://www.diodes.com/part/view/MMBD4148PLM","MMBD4148PLM")</f>
        <v>MMBD4148PLM</v>
      </c>
      <c r="B166" t="str">
        <f>Hyperlink("https://www.diodes.com/assets/Datasheets/MMBD4148PLM.pdf","MMBD4148PLM Datasheet")</f>
        <v>MMBD4148PLM Datasheet</v>
      </c>
      <c r="C166" t="s">
        <v>193</v>
      </c>
      <c r="D166" t="s">
        <v>33</v>
      </c>
      <c r="E166" t="s">
        <v>34</v>
      </c>
      <c r="F166" t="s">
        <v>194</v>
      </c>
      <c r="G166" t="s">
        <v>36</v>
      </c>
      <c r="H166">
        <v>500</v>
      </c>
      <c r="I166" t="s">
        <v>33</v>
      </c>
      <c r="J166">
        <v>75</v>
      </c>
      <c r="K166">
        <v>4</v>
      </c>
      <c r="L166">
        <v>200</v>
      </c>
      <c r="M166">
        <v>1</v>
      </c>
      <c r="N166">
        <v>1.25</v>
      </c>
      <c r="O166">
        <v>1</v>
      </c>
      <c r="Q166">
        <v>2</v>
      </c>
      <c r="U166">
        <v>75</v>
      </c>
      <c r="V166">
        <v>4</v>
      </c>
      <c r="W166">
        <v>75</v>
      </c>
      <c r="X166">
        <v>0.7</v>
      </c>
      <c r="Y166">
        <v>0.82</v>
      </c>
      <c r="AB166" t="s">
        <v>70</v>
      </c>
      <c r="AD166">
        <v>2</v>
      </c>
      <c r="AF166" t="s">
        <v>195</v>
      </c>
    </row>
    <row r="167" spans="1:32">
      <c r="A167" t="str">
        <f>Hyperlink("https://www.diodes.com/part/view/MMBD4148TW","MMBD4148TW")</f>
        <v>MMBD4148TW</v>
      </c>
      <c r="B167" t="str">
        <f>Hyperlink("https://www.diodes.com/assets/Datasheets/ds30154.pdf","MMBD4148TW Datasheet")</f>
        <v>MMBD4148TW Datasheet</v>
      </c>
      <c r="C167" t="s">
        <v>32</v>
      </c>
      <c r="D167" t="s">
        <v>33</v>
      </c>
      <c r="E167" t="s">
        <v>34</v>
      </c>
      <c r="F167" t="s">
        <v>76</v>
      </c>
      <c r="G167" t="s">
        <v>36</v>
      </c>
      <c r="H167">
        <v>200</v>
      </c>
      <c r="I167" t="s">
        <v>33</v>
      </c>
      <c r="J167">
        <v>75</v>
      </c>
      <c r="K167">
        <v>4</v>
      </c>
      <c r="L167">
        <v>150</v>
      </c>
      <c r="M167">
        <v>2</v>
      </c>
      <c r="N167">
        <v>1</v>
      </c>
      <c r="O167">
        <v>1</v>
      </c>
      <c r="Q167">
        <v>2</v>
      </c>
      <c r="U167" t="s">
        <v>49</v>
      </c>
      <c r="V167">
        <v>4</v>
      </c>
      <c r="W167">
        <v>75</v>
      </c>
      <c r="X167">
        <v>0.7</v>
      </c>
      <c r="Y167">
        <v>0.82</v>
      </c>
      <c r="AB167" t="s">
        <v>70</v>
      </c>
      <c r="AD167">
        <v>2</v>
      </c>
      <c r="AF167" t="s">
        <v>79</v>
      </c>
    </row>
    <row r="168" spans="1:32">
      <c r="A168" t="str">
        <f>Hyperlink("https://www.diodes.com/part/view/MMBD4148W","MMBD4148W")</f>
        <v>MMBD4148W</v>
      </c>
      <c r="B168" t="str">
        <f>Hyperlink("https://www.diodes.com/assets/Datasheets/MMBD4148W_BAS16W.pdf","MMBD4148W Datasheet")</f>
        <v>MMBD4148W Datasheet</v>
      </c>
      <c r="C168" t="s">
        <v>32</v>
      </c>
      <c r="D168" t="s">
        <v>33</v>
      </c>
      <c r="E168" t="s">
        <v>34</v>
      </c>
      <c r="F168" t="s">
        <v>35</v>
      </c>
      <c r="G168" t="s">
        <v>36</v>
      </c>
      <c r="H168">
        <v>200</v>
      </c>
      <c r="I168" t="s">
        <v>33</v>
      </c>
      <c r="J168">
        <v>75</v>
      </c>
      <c r="K168">
        <v>4</v>
      </c>
      <c r="L168">
        <v>150</v>
      </c>
      <c r="M168">
        <v>2</v>
      </c>
      <c r="N168">
        <v>1</v>
      </c>
      <c r="O168">
        <v>1</v>
      </c>
      <c r="Q168">
        <v>2</v>
      </c>
      <c r="U168" t="s">
        <v>49</v>
      </c>
      <c r="V168">
        <v>4</v>
      </c>
      <c r="W168">
        <v>75</v>
      </c>
      <c r="X168">
        <v>0.7</v>
      </c>
      <c r="Y168">
        <v>0.82</v>
      </c>
      <c r="AB168" t="s">
        <v>70</v>
      </c>
      <c r="AD168">
        <v>2</v>
      </c>
      <c r="AF168" t="s">
        <v>97</v>
      </c>
    </row>
    <row r="169" spans="1:32">
      <c r="A169" t="str">
        <f>Hyperlink("https://www.diodes.com/part/view/MMBD4448","MMBD4448")</f>
        <v>MMBD4448</v>
      </c>
      <c r="B169" t="str">
        <f>Hyperlink("https://www.diodes.com/assets/Datasheets/MMBD4448.pdf","MMBD4448 Datasheet")</f>
        <v>MMBD4448 Datasheet</v>
      </c>
      <c r="C169" t="s">
        <v>32</v>
      </c>
      <c r="D169" t="s">
        <v>33</v>
      </c>
      <c r="E169" t="s">
        <v>34</v>
      </c>
      <c r="F169" t="s">
        <v>35</v>
      </c>
      <c r="G169" t="s">
        <v>36</v>
      </c>
      <c r="H169">
        <v>350</v>
      </c>
      <c r="I169" t="s">
        <v>33</v>
      </c>
      <c r="J169">
        <v>75</v>
      </c>
      <c r="K169">
        <v>4</v>
      </c>
      <c r="L169">
        <v>250</v>
      </c>
      <c r="M169">
        <v>4</v>
      </c>
      <c r="N169">
        <v>1</v>
      </c>
      <c r="O169">
        <v>2.5</v>
      </c>
      <c r="Q169">
        <v>4</v>
      </c>
      <c r="U169" t="s">
        <v>147</v>
      </c>
      <c r="V169">
        <v>4</v>
      </c>
      <c r="W169">
        <v>75</v>
      </c>
      <c r="X169">
        <v>0.715</v>
      </c>
      <c r="Y169">
        <v>0.855</v>
      </c>
      <c r="AB169" t="s">
        <v>144</v>
      </c>
      <c r="AD169">
        <v>4</v>
      </c>
      <c r="AF169" t="s">
        <v>65</v>
      </c>
    </row>
    <row r="170" spans="1:32">
      <c r="A170" t="str">
        <f>Hyperlink("https://www.diodes.com/part/view/MMBD4448DW","MMBD4448DW")</f>
        <v>MMBD4448DW</v>
      </c>
      <c r="B170" t="str">
        <f>Hyperlink("https://www.diodes.com/assets/Datasheets/MMBD4448DW.pdf","MMBD4448DW Datasheet")</f>
        <v>MMBD4448DW Datasheet</v>
      </c>
      <c r="C170" t="s">
        <v>196</v>
      </c>
      <c r="D170" t="s">
        <v>33</v>
      </c>
      <c r="E170" t="s">
        <v>34</v>
      </c>
      <c r="F170" t="s">
        <v>61</v>
      </c>
      <c r="G170" t="s">
        <v>36</v>
      </c>
      <c r="H170">
        <v>200</v>
      </c>
      <c r="I170" t="s">
        <v>33</v>
      </c>
      <c r="J170">
        <v>75</v>
      </c>
      <c r="K170">
        <v>4</v>
      </c>
      <c r="L170">
        <v>250</v>
      </c>
      <c r="M170">
        <v>4</v>
      </c>
      <c r="N170">
        <v>1</v>
      </c>
      <c r="O170">
        <v>2.5</v>
      </c>
      <c r="Q170">
        <v>4</v>
      </c>
      <c r="S170">
        <v>1</v>
      </c>
      <c r="U170" t="s">
        <v>197</v>
      </c>
      <c r="V170">
        <v>4</v>
      </c>
      <c r="W170">
        <v>75</v>
      </c>
      <c r="AB170" t="s">
        <v>144</v>
      </c>
      <c r="AD170">
        <v>4</v>
      </c>
      <c r="AF170" t="s">
        <v>79</v>
      </c>
    </row>
    <row r="171" spans="1:32">
      <c r="A171" t="str">
        <f>Hyperlink("https://www.diodes.com/part/view/MMBD4448H","MMBD4448H")</f>
        <v>MMBD4448H</v>
      </c>
      <c r="B171" t="str">
        <f>Hyperlink("https://www.diodes.com/assets/Datasheets/ds30176.pdf","MMBD4448H Datasheet")</f>
        <v>MMBD4448H Datasheet</v>
      </c>
      <c r="C171" t="s">
        <v>32</v>
      </c>
      <c r="D171" t="s">
        <v>33</v>
      </c>
      <c r="E171" t="s">
        <v>34</v>
      </c>
      <c r="F171" t="s">
        <v>35</v>
      </c>
      <c r="G171" t="s">
        <v>36</v>
      </c>
      <c r="H171">
        <v>350</v>
      </c>
      <c r="I171" t="s">
        <v>33</v>
      </c>
      <c r="J171">
        <v>80</v>
      </c>
      <c r="K171">
        <v>4</v>
      </c>
      <c r="L171">
        <v>250</v>
      </c>
      <c r="M171">
        <v>4</v>
      </c>
      <c r="N171">
        <v>1</v>
      </c>
      <c r="O171">
        <v>0.1</v>
      </c>
      <c r="Q171">
        <v>3.5</v>
      </c>
      <c r="U171" t="s">
        <v>143</v>
      </c>
      <c r="V171">
        <v>4</v>
      </c>
      <c r="W171">
        <v>70</v>
      </c>
      <c r="X171">
        <v>0.715</v>
      </c>
      <c r="Y171">
        <v>0.855</v>
      </c>
      <c r="AB171" t="s">
        <v>198</v>
      </c>
      <c r="AD171">
        <v>3.5</v>
      </c>
      <c r="AF171" t="s">
        <v>65</v>
      </c>
    </row>
    <row r="172" spans="1:32">
      <c r="A172" t="str">
        <f>Hyperlink("https://www.diodes.com/part/view/MMBD4448HADW","MMBD4448HADW")</f>
        <v>MMBD4448HADW</v>
      </c>
      <c r="B172" t="str">
        <f>Hyperlink("https://www.diodes.com/assets/Datasheets/MMBD4448HCQW_AQW_ADW_CDW_SDW_TW.pdf","MMBD4448HADW Datasheet")</f>
        <v>MMBD4448HADW Datasheet</v>
      </c>
      <c r="C172" t="s">
        <v>32</v>
      </c>
      <c r="D172" t="s">
        <v>33</v>
      </c>
      <c r="E172" t="s">
        <v>34</v>
      </c>
      <c r="F172" t="s">
        <v>159</v>
      </c>
      <c r="G172" t="s">
        <v>36</v>
      </c>
      <c r="H172">
        <v>200</v>
      </c>
      <c r="I172" t="s">
        <v>33</v>
      </c>
      <c r="J172">
        <v>80</v>
      </c>
      <c r="K172">
        <v>4</v>
      </c>
      <c r="L172">
        <v>250</v>
      </c>
      <c r="M172">
        <v>4</v>
      </c>
      <c r="N172">
        <v>1</v>
      </c>
      <c r="O172">
        <v>0.1</v>
      </c>
      <c r="Q172">
        <v>3.5</v>
      </c>
      <c r="U172">
        <v>80</v>
      </c>
      <c r="V172">
        <v>4</v>
      </c>
      <c r="W172">
        <v>70</v>
      </c>
      <c r="AB172" t="s">
        <v>198</v>
      </c>
      <c r="AD172">
        <v>3.5</v>
      </c>
      <c r="AF172" t="s">
        <v>79</v>
      </c>
    </row>
    <row r="173" spans="1:32">
      <c r="A173" t="str">
        <f>Hyperlink("https://www.diodes.com/part/view/MMBD4448HAQW","MMBD4448HAQW")</f>
        <v>MMBD4448HAQW</v>
      </c>
      <c r="B173" t="str">
        <f>Hyperlink("https://www.diodes.com/assets/Datasheets/MMBD4448HCQW_AQW_ADW_CDW_SDW_TW.pdf","MMBD4448HAQW Datasheet")</f>
        <v>MMBD4448HAQW Datasheet</v>
      </c>
      <c r="C173" t="s">
        <v>32</v>
      </c>
      <c r="D173" t="s">
        <v>39</v>
      </c>
      <c r="E173" t="s">
        <v>34</v>
      </c>
      <c r="F173" t="s">
        <v>199</v>
      </c>
      <c r="G173" t="s">
        <v>36</v>
      </c>
      <c r="H173">
        <v>200</v>
      </c>
      <c r="I173" t="s">
        <v>33</v>
      </c>
      <c r="J173">
        <v>80</v>
      </c>
      <c r="K173">
        <v>4</v>
      </c>
      <c r="L173">
        <v>250</v>
      </c>
      <c r="M173">
        <v>4</v>
      </c>
      <c r="N173">
        <v>1</v>
      </c>
      <c r="O173">
        <v>0.1</v>
      </c>
      <c r="Q173">
        <v>3.5</v>
      </c>
      <c r="U173">
        <v>80</v>
      </c>
      <c r="V173">
        <v>4</v>
      </c>
      <c r="W173">
        <v>70</v>
      </c>
      <c r="AB173" t="s">
        <v>198</v>
      </c>
      <c r="AD173">
        <v>3.5</v>
      </c>
      <c r="AF173" t="s">
        <v>79</v>
      </c>
    </row>
    <row r="174" spans="1:32">
      <c r="A174" t="str">
        <f>Hyperlink("https://www.diodes.com/part/view/MMBD4448HCDW","MMBD4448HCDW")</f>
        <v>MMBD4448HCDW</v>
      </c>
      <c r="B174" t="str">
        <f>Hyperlink("https://www.diodes.com/assets/Datasheets/MMBD4448HCQW_AQW_ADW_CDW_SDW_TW.pdf","MMBD4448HCDW Datasheet")</f>
        <v>MMBD4448HCDW Datasheet</v>
      </c>
      <c r="C174" t="s">
        <v>32</v>
      </c>
      <c r="D174" t="s">
        <v>33</v>
      </c>
      <c r="E174" t="s">
        <v>34</v>
      </c>
      <c r="F174" t="s">
        <v>145</v>
      </c>
      <c r="G174" t="s">
        <v>36</v>
      </c>
      <c r="H174">
        <v>200</v>
      </c>
      <c r="I174" t="s">
        <v>33</v>
      </c>
      <c r="J174">
        <v>80</v>
      </c>
      <c r="K174">
        <v>4</v>
      </c>
      <c r="L174">
        <v>250</v>
      </c>
      <c r="M174">
        <v>4</v>
      </c>
      <c r="N174">
        <v>1</v>
      </c>
      <c r="O174">
        <v>0.1</v>
      </c>
      <c r="Q174">
        <v>3.5</v>
      </c>
      <c r="U174">
        <v>80</v>
      </c>
      <c r="V174">
        <v>4</v>
      </c>
      <c r="W174">
        <v>70</v>
      </c>
      <c r="AB174" t="s">
        <v>198</v>
      </c>
      <c r="AD174">
        <v>3.5</v>
      </c>
      <c r="AF174" t="s">
        <v>79</v>
      </c>
    </row>
    <row r="175" spans="1:32">
      <c r="A175" t="str">
        <f>Hyperlink("https://www.diodes.com/part/view/MMBD4448HCQW","MMBD4448HCQW")</f>
        <v>MMBD4448HCQW</v>
      </c>
      <c r="B175" t="str">
        <f>Hyperlink("https://www.diodes.com/assets/Datasheets/MMBD4448HCQW_AQW_ADW_CDW_SDW_TW.pdf","MMBD4448HCQW Datasheet")</f>
        <v>MMBD4448HCQW Datasheet</v>
      </c>
      <c r="C175" t="s">
        <v>32</v>
      </c>
      <c r="D175" t="s">
        <v>39</v>
      </c>
      <c r="E175" t="s">
        <v>34</v>
      </c>
      <c r="F175" t="s">
        <v>200</v>
      </c>
      <c r="G175" t="s">
        <v>36</v>
      </c>
      <c r="H175">
        <v>200</v>
      </c>
      <c r="I175" t="s">
        <v>33</v>
      </c>
      <c r="J175">
        <v>80</v>
      </c>
      <c r="K175">
        <v>4</v>
      </c>
      <c r="L175">
        <v>250</v>
      </c>
      <c r="M175">
        <v>4</v>
      </c>
      <c r="N175">
        <v>1</v>
      </c>
      <c r="O175">
        <v>0.1</v>
      </c>
      <c r="Q175">
        <v>3.5</v>
      </c>
      <c r="U175">
        <v>80</v>
      </c>
      <c r="V175">
        <v>4</v>
      </c>
      <c r="W175">
        <v>70</v>
      </c>
      <c r="AB175" t="s">
        <v>198</v>
      </c>
      <c r="AD175">
        <v>3.5</v>
      </c>
      <c r="AF175" t="s">
        <v>103</v>
      </c>
    </row>
    <row r="176" spans="1:32">
      <c r="A176" t="str">
        <f>Hyperlink("https://www.diodes.com/part/view/MMBD4448HSDW","MMBD4448HSDW")</f>
        <v>MMBD4448HSDW</v>
      </c>
      <c r="B176" t="str">
        <f>Hyperlink("https://www.diodes.com/assets/Datasheets/MMBD4448HCQW_AQW_ADW_CDW_SDW_TW.pdf","MMBD4448HSDW Datasheet")</f>
        <v>MMBD4448HSDW Datasheet</v>
      </c>
      <c r="C176" t="s">
        <v>32</v>
      </c>
      <c r="D176" t="s">
        <v>33</v>
      </c>
      <c r="E176" t="s">
        <v>34</v>
      </c>
      <c r="F176" t="s">
        <v>130</v>
      </c>
      <c r="G176" t="s">
        <v>36</v>
      </c>
      <c r="H176">
        <v>200</v>
      </c>
      <c r="I176" t="s">
        <v>33</v>
      </c>
      <c r="J176">
        <v>80</v>
      </c>
      <c r="K176">
        <v>4</v>
      </c>
      <c r="L176">
        <v>250</v>
      </c>
      <c r="M176">
        <v>4</v>
      </c>
      <c r="N176">
        <v>1</v>
      </c>
      <c r="O176">
        <v>0.1</v>
      </c>
      <c r="Q176">
        <v>3.5</v>
      </c>
      <c r="U176">
        <v>80</v>
      </c>
      <c r="V176">
        <v>4</v>
      </c>
      <c r="W176">
        <v>70</v>
      </c>
      <c r="AB176" t="s">
        <v>198</v>
      </c>
      <c r="AD176">
        <v>3.5</v>
      </c>
      <c r="AF176" t="s">
        <v>79</v>
      </c>
    </row>
    <row r="177" spans="1:32">
      <c r="A177" t="str">
        <f>Hyperlink("https://www.diodes.com/part/view/MMBD4448HT","MMBD4448HT")</f>
        <v>MMBD4448HT</v>
      </c>
      <c r="B177" t="str">
        <f>Hyperlink("https://www.diodes.com/assets/Datasheets/ds30263.pdf","MMBD4448HT Datasheet")</f>
        <v>MMBD4448HT Datasheet</v>
      </c>
      <c r="C177" t="s">
        <v>32</v>
      </c>
      <c r="D177" t="s">
        <v>33</v>
      </c>
      <c r="E177" t="s">
        <v>34</v>
      </c>
      <c r="F177" t="s">
        <v>35</v>
      </c>
      <c r="G177" t="s">
        <v>36</v>
      </c>
      <c r="H177">
        <v>150</v>
      </c>
      <c r="I177" t="s">
        <v>33</v>
      </c>
      <c r="J177">
        <v>80</v>
      </c>
      <c r="K177">
        <v>4</v>
      </c>
      <c r="L177">
        <v>250</v>
      </c>
      <c r="M177">
        <v>4</v>
      </c>
      <c r="N177">
        <v>1</v>
      </c>
      <c r="O177">
        <v>0.1</v>
      </c>
      <c r="Q177">
        <v>3.5</v>
      </c>
      <c r="U177" t="s">
        <v>201</v>
      </c>
      <c r="V177">
        <v>4</v>
      </c>
      <c r="W177">
        <v>70</v>
      </c>
      <c r="AB177" t="s">
        <v>198</v>
      </c>
      <c r="AD177">
        <v>3.5</v>
      </c>
      <c r="AF177" t="s">
        <v>68</v>
      </c>
    </row>
    <row r="178" spans="1:32">
      <c r="A178" t="str">
        <f>Hyperlink("https://www.diodes.com/part/view/MMBD4448HTA","MMBD4448HTA")</f>
        <v>MMBD4448HTA</v>
      </c>
      <c r="B178" t="str">
        <f>Hyperlink("https://www.diodes.com/assets/Datasheets/ds30263.pdf","MMBD4448HTA Datasheet")</f>
        <v>MMBD4448HTA Datasheet</v>
      </c>
      <c r="C178" t="s">
        <v>32</v>
      </c>
      <c r="D178" t="s">
        <v>33</v>
      </c>
      <c r="E178" t="s">
        <v>34</v>
      </c>
      <c r="F178" t="s">
        <v>140</v>
      </c>
      <c r="G178" t="s">
        <v>36</v>
      </c>
      <c r="H178">
        <v>150</v>
      </c>
      <c r="I178" t="s">
        <v>33</v>
      </c>
      <c r="J178">
        <v>80</v>
      </c>
      <c r="K178">
        <v>4</v>
      </c>
      <c r="L178">
        <v>250</v>
      </c>
      <c r="M178">
        <v>4</v>
      </c>
      <c r="N178">
        <v>1</v>
      </c>
      <c r="O178">
        <v>0.1</v>
      </c>
      <c r="Q178">
        <v>3.5</v>
      </c>
      <c r="U178" t="s">
        <v>202</v>
      </c>
      <c r="V178">
        <v>4</v>
      </c>
      <c r="W178">
        <v>70</v>
      </c>
      <c r="AB178" t="s">
        <v>198</v>
      </c>
      <c r="AD178">
        <v>3.5</v>
      </c>
      <c r="AF178" t="s">
        <v>68</v>
      </c>
    </row>
    <row r="179" spans="1:32">
      <c r="A179" t="str">
        <f>Hyperlink("https://www.diodes.com/part/view/MMBD4448HTC","MMBD4448HTC")</f>
        <v>MMBD4448HTC</v>
      </c>
      <c r="B179" t="str">
        <f>Hyperlink("https://www.diodes.com/assets/Datasheets/ds30263.pdf","MMBD4448HTC Datasheet")</f>
        <v>MMBD4448HTC Datasheet</v>
      </c>
      <c r="C179" t="s">
        <v>32</v>
      </c>
      <c r="D179" t="s">
        <v>33</v>
      </c>
      <c r="E179" t="s">
        <v>34</v>
      </c>
      <c r="F179" t="s">
        <v>129</v>
      </c>
      <c r="G179" t="s">
        <v>36</v>
      </c>
      <c r="H179">
        <v>150</v>
      </c>
      <c r="I179" t="s">
        <v>33</v>
      </c>
      <c r="J179">
        <v>80</v>
      </c>
      <c r="K179">
        <v>4</v>
      </c>
      <c r="L179">
        <v>250</v>
      </c>
      <c r="M179">
        <v>4</v>
      </c>
      <c r="N179">
        <v>1</v>
      </c>
      <c r="O179">
        <v>0.1</v>
      </c>
      <c r="Q179">
        <v>3.5</v>
      </c>
      <c r="U179" t="s">
        <v>201</v>
      </c>
      <c r="V179">
        <v>4</v>
      </c>
      <c r="W179">
        <v>70</v>
      </c>
      <c r="AB179" t="s">
        <v>198</v>
      </c>
      <c r="AD179">
        <v>3.5</v>
      </c>
      <c r="AF179" t="s">
        <v>68</v>
      </c>
    </row>
    <row r="180" spans="1:32">
      <c r="A180" t="str">
        <f>Hyperlink("https://www.diodes.com/part/view/MMBD4448HTM","MMBD4448HTM")</f>
        <v>MMBD4448HTM</v>
      </c>
      <c r="B180" t="str">
        <f>Hyperlink("https://www.diodes.com/assets/Datasheets/ds30302.pdf","MMBD4448HTM Datasheet")</f>
        <v>MMBD4448HTM Datasheet</v>
      </c>
      <c r="C180" t="s">
        <v>32</v>
      </c>
      <c r="D180" t="s">
        <v>33</v>
      </c>
      <c r="E180" t="s">
        <v>34</v>
      </c>
      <c r="F180" t="s">
        <v>105</v>
      </c>
      <c r="G180" t="s">
        <v>36</v>
      </c>
      <c r="H180">
        <v>350</v>
      </c>
      <c r="I180" t="s">
        <v>33</v>
      </c>
      <c r="J180">
        <v>80</v>
      </c>
      <c r="K180">
        <v>4</v>
      </c>
      <c r="L180">
        <v>250</v>
      </c>
      <c r="M180">
        <v>4</v>
      </c>
      <c r="N180">
        <v>1</v>
      </c>
      <c r="O180">
        <v>0.1</v>
      </c>
      <c r="Q180">
        <v>3.5</v>
      </c>
      <c r="U180" t="s">
        <v>202</v>
      </c>
      <c r="V180">
        <v>4</v>
      </c>
      <c r="W180">
        <v>70</v>
      </c>
      <c r="AB180" t="s">
        <v>198</v>
      </c>
      <c r="AD180">
        <v>3.5</v>
      </c>
      <c r="AF180" t="s">
        <v>107</v>
      </c>
    </row>
    <row r="181" spans="1:32">
      <c r="A181" t="str">
        <f>Hyperlink("https://www.diodes.com/part/view/MMBD4448HTS","MMBD4448HTS")</f>
        <v>MMBD4448HTS</v>
      </c>
      <c r="B181" t="str">
        <f>Hyperlink("https://www.diodes.com/assets/Datasheets/ds30263.pdf","MMBD4448HTS Datasheet")</f>
        <v>MMBD4448HTS Datasheet</v>
      </c>
      <c r="C181" t="s">
        <v>32</v>
      </c>
      <c r="D181" t="s">
        <v>33</v>
      </c>
      <c r="E181" t="s">
        <v>34</v>
      </c>
      <c r="F181" t="s">
        <v>116</v>
      </c>
      <c r="G181" t="s">
        <v>36</v>
      </c>
      <c r="H181">
        <v>150</v>
      </c>
      <c r="I181" t="s">
        <v>33</v>
      </c>
      <c r="J181">
        <v>80</v>
      </c>
      <c r="K181">
        <v>4</v>
      </c>
      <c r="L181">
        <v>250</v>
      </c>
      <c r="M181">
        <v>4</v>
      </c>
      <c r="N181">
        <v>1</v>
      </c>
      <c r="O181">
        <v>0.1</v>
      </c>
      <c r="Q181">
        <v>3.5</v>
      </c>
      <c r="U181" t="s">
        <v>201</v>
      </c>
      <c r="V181">
        <v>4</v>
      </c>
      <c r="W181">
        <v>70</v>
      </c>
      <c r="AB181" t="s">
        <v>198</v>
      </c>
      <c r="AD181">
        <v>3.5</v>
      </c>
      <c r="AF181" t="s">
        <v>68</v>
      </c>
    </row>
    <row r="182" spans="1:32">
      <c r="A182" t="str">
        <f>Hyperlink("https://www.diodes.com/part/view/MMBD4448HTW","MMBD4448HTW")</f>
        <v>MMBD4448HTW</v>
      </c>
      <c r="B182" t="str">
        <f>Hyperlink("https://www.diodes.com/assets/Datasheets/MMBD4448HCQW_AQW_ADW_CDW_SDW_TW.pdf","MMBD4448HTW Datasheet")</f>
        <v>MMBD4448HTW Datasheet</v>
      </c>
      <c r="C182" t="s">
        <v>32</v>
      </c>
      <c r="D182" t="s">
        <v>33</v>
      </c>
      <c r="E182" t="s">
        <v>34</v>
      </c>
      <c r="F182" t="s">
        <v>76</v>
      </c>
      <c r="G182" t="s">
        <v>36</v>
      </c>
      <c r="H182">
        <v>200</v>
      </c>
      <c r="I182" t="s">
        <v>33</v>
      </c>
      <c r="J182">
        <v>80</v>
      </c>
      <c r="K182">
        <v>4</v>
      </c>
      <c r="L182">
        <v>250</v>
      </c>
      <c r="M182">
        <v>4</v>
      </c>
      <c r="N182">
        <v>1</v>
      </c>
      <c r="O182">
        <v>0.1</v>
      </c>
      <c r="Q182">
        <v>3.5</v>
      </c>
      <c r="U182">
        <v>80</v>
      </c>
      <c r="V182">
        <v>4</v>
      </c>
      <c r="W182">
        <v>70</v>
      </c>
      <c r="AB182" t="s">
        <v>198</v>
      </c>
      <c r="AD182">
        <v>3.5</v>
      </c>
      <c r="AF182" t="s">
        <v>79</v>
      </c>
    </row>
    <row r="183" spans="1:32">
      <c r="A183" t="str">
        <f>Hyperlink("https://www.diodes.com/part/view/MMBD4448HW","MMBD4448HW")</f>
        <v>MMBD4448HW</v>
      </c>
      <c r="B183" t="str">
        <f>Hyperlink("https://www.diodes.com/assets/Datasheets/ds30228.pdf","MMBD4448HW Datasheet")</f>
        <v>MMBD4448HW Datasheet</v>
      </c>
      <c r="C183" t="s">
        <v>32</v>
      </c>
      <c r="D183" t="s">
        <v>33</v>
      </c>
      <c r="E183" t="s">
        <v>34</v>
      </c>
      <c r="F183" t="s">
        <v>35</v>
      </c>
      <c r="G183" t="s">
        <v>36</v>
      </c>
      <c r="H183">
        <v>200</v>
      </c>
      <c r="I183" t="s">
        <v>33</v>
      </c>
      <c r="J183">
        <v>80</v>
      </c>
      <c r="K183">
        <v>4</v>
      </c>
      <c r="L183">
        <v>250</v>
      </c>
      <c r="M183">
        <v>4</v>
      </c>
      <c r="N183">
        <v>1</v>
      </c>
      <c r="O183">
        <v>0.1</v>
      </c>
      <c r="Q183">
        <v>3.5</v>
      </c>
      <c r="U183" t="s">
        <v>201</v>
      </c>
      <c r="V183">
        <v>4</v>
      </c>
      <c r="W183">
        <v>70</v>
      </c>
      <c r="AB183" t="s">
        <v>198</v>
      </c>
      <c r="AD183">
        <v>3.5</v>
      </c>
      <c r="AF183" t="s">
        <v>97</v>
      </c>
    </row>
    <row r="184" spans="1:32">
      <c r="A184" t="str">
        <f>Hyperlink("https://www.diodes.com/part/view/MMBD4448V","MMBD4448V")</f>
        <v>MMBD4448V</v>
      </c>
      <c r="B184" t="str">
        <f>Hyperlink("https://www.diodes.com/assets/Datasheets/MMBD4448V.pdf","MMBD4448V Datasheet")</f>
        <v>MMBD4448V Datasheet</v>
      </c>
      <c r="C184" t="s">
        <v>32</v>
      </c>
      <c r="D184" t="s">
        <v>33</v>
      </c>
      <c r="E184" t="s">
        <v>34</v>
      </c>
      <c r="F184" t="s">
        <v>61</v>
      </c>
      <c r="G184" t="s">
        <v>36</v>
      </c>
      <c r="H184">
        <v>150</v>
      </c>
      <c r="I184" t="s">
        <v>33</v>
      </c>
      <c r="J184">
        <v>80</v>
      </c>
      <c r="K184">
        <v>4</v>
      </c>
      <c r="L184">
        <v>250</v>
      </c>
      <c r="M184">
        <v>4</v>
      </c>
      <c r="N184">
        <v>1</v>
      </c>
      <c r="O184">
        <v>0.1</v>
      </c>
      <c r="Q184">
        <v>3.5</v>
      </c>
      <c r="U184" t="s">
        <v>201</v>
      </c>
      <c r="V184">
        <v>4</v>
      </c>
      <c r="W184">
        <v>70</v>
      </c>
      <c r="AB184" t="s">
        <v>198</v>
      </c>
      <c r="AD184">
        <v>3.5</v>
      </c>
      <c r="AF184" t="s">
        <v>69</v>
      </c>
    </row>
    <row r="185" spans="1:32">
      <c r="A185" t="str">
        <f>Hyperlink("https://www.diodes.com/part/view/MMBD4448W","MMBD4448W")</f>
        <v>MMBD4448W</v>
      </c>
      <c r="B185" t="str">
        <f>Hyperlink("https://www.diodes.com/assets/Datasheets/ds30095.pdf","MMBD4448W Datasheet")</f>
        <v>MMBD4448W Datasheet</v>
      </c>
      <c r="C185" t="s">
        <v>32</v>
      </c>
      <c r="D185" t="s">
        <v>33</v>
      </c>
      <c r="E185" t="s">
        <v>34</v>
      </c>
      <c r="F185" t="s">
        <v>35</v>
      </c>
      <c r="G185" t="s">
        <v>36</v>
      </c>
      <c r="H185">
        <v>200</v>
      </c>
      <c r="I185" t="s">
        <v>33</v>
      </c>
      <c r="J185">
        <v>75</v>
      </c>
      <c r="K185">
        <v>4</v>
      </c>
      <c r="L185">
        <v>250</v>
      </c>
      <c r="M185">
        <v>4</v>
      </c>
      <c r="N185">
        <v>1</v>
      </c>
      <c r="O185">
        <v>2.5</v>
      </c>
      <c r="Q185">
        <v>4</v>
      </c>
      <c r="U185" t="s">
        <v>197</v>
      </c>
      <c r="V185">
        <v>4</v>
      </c>
      <c r="W185">
        <v>75</v>
      </c>
      <c r="AB185" t="s">
        <v>70</v>
      </c>
      <c r="AD185">
        <v>2</v>
      </c>
      <c r="AF185" t="s">
        <v>97</v>
      </c>
    </row>
    <row r="186" spans="1:32">
      <c r="A186" t="str">
        <f>Hyperlink("https://www.diodes.com/part/view/MMBD7000","MMBD7000")</f>
        <v>MMBD7000</v>
      </c>
      <c r="B186" t="str">
        <f>Hyperlink("https://www.diodes.com/assets/Datasheets/MMBD7000.pdf","MMBD7000 Datasheet")</f>
        <v>MMBD7000 Datasheet</v>
      </c>
      <c r="C186" t="s">
        <v>32</v>
      </c>
      <c r="D186" t="s">
        <v>33</v>
      </c>
      <c r="E186" t="s">
        <v>34</v>
      </c>
      <c r="F186" t="s">
        <v>116</v>
      </c>
      <c r="G186" t="s">
        <v>36</v>
      </c>
      <c r="H186">
        <v>350</v>
      </c>
      <c r="I186" t="s">
        <v>33</v>
      </c>
      <c r="J186">
        <v>75</v>
      </c>
      <c r="K186">
        <v>4</v>
      </c>
      <c r="L186">
        <v>300</v>
      </c>
      <c r="M186">
        <v>2</v>
      </c>
      <c r="N186">
        <v>1.1</v>
      </c>
      <c r="O186">
        <v>1</v>
      </c>
      <c r="Q186">
        <v>2</v>
      </c>
      <c r="U186">
        <v>75</v>
      </c>
      <c r="V186">
        <v>4</v>
      </c>
      <c r="W186">
        <v>100</v>
      </c>
      <c r="AB186" t="s">
        <v>203</v>
      </c>
      <c r="AD186">
        <v>2</v>
      </c>
      <c r="AF186" t="s">
        <v>65</v>
      </c>
    </row>
    <row r="187" spans="1:32">
      <c r="A187" t="str">
        <f>Hyperlink("https://www.diodes.com/part/view/MMBD7000HC","MMBD7000HC")</f>
        <v>MMBD7000HC</v>
      </c>
      <c r="B187" t="str">
        <f>Hyperlink("https://www.diodes.com/assets/Datasheets/MMBD7000HS_HC.pdf","MMBD7000HC Datasheet")</f>
        <v>MMBD7000HC Datasheet</v>
      </c>
      <c r="C187" t="s">
        <v>87</v>
      </c>
      <c r="D187" t="s">
        <v>33</v>
      </c>
      <c r="E187" t="s">
        <v>34</v>
      </c>
      <c r="F187" t="s">
        <v>129</v>
      </c>
      <c r="G187" t="s">
        <v>36</v>
      </c>
      <c r="H187">
        <v>350</v>
      </c>
      <c r="I187" t="s">
        <v>33</v>
      </c>
      <c r="J187">
        <v>100</v>
      </c>
      <c r="K187">
        <v>4</v>
      </c>
      <c r="L187">
        <v>300</v>
      </c>
      <c r="M187">
        <v>2</v>
      </c>
      <c r="N187">
        <v>1.1</v>
      </c>
      <c r="O187">
        <v>1</v>
      </c>
      <c r="Q187">
        <v>2</v>
      </c>
      <c r="U187">
        <v>100</v>
      </c>
      <c r="V187">
        <v>4</v>
      </c>
      <c r="W187">
        <v>100</v>
      </c>
      <c r="AB187" t="s">
        <v>203</v>
      </c>
      <c r="AD187">
        <v>2</v>
      </c>
      <c r="AF187" t="s">
        <v>65</v>
      </c>
    </row>
    <row r="188" spans="1:32">
      <c r="A188" t="str">
        <f>Hyperlink("https://www.diodes.com/part/view/MMBD7000HS","MMBD7000HS")</f>
        <v>MMBD7000HS</v>
      </c>
      <c r="B188" t="str">
        <f>Hyperlink("https://www.diodes.com/assets/Datasheets/MMBD7000HS_HC.pdf","MMBD7000HS Datasheet")</f>
        <v>MMBD7000HS Datasheet</v>
      </c>
      <c r="C188" t="s">
        <v>87</v>
      </c>
      <c r="D188" t="s">
        <v>33</v>
      </c>
      <c r="E188" t="s">
        <v>34</v>
      </c>
      <c r="F188" t="s">
        <v>116</v>
      </c>
      <c r="G188" t="s">
        <v>36</v>
      </c>
      <c r="H188">
        <v>350</v>
      </c>
      <c r="I188" t="s">
        <v>33</v>
      </c>
      <c r="J188">
        <v>100</v>
      </c>
      <c r="K188">
        <v>4</v>
      </c>
      <c r="L188">
        <v>300</v>
      </c>
      <c r="M188">
        <v>2</v>
      </c>
      <c r="N188">
        <v>1.1</v>
      </c>
      <c r="O188">
        <v>1</v>
      </c>
      <c r="Q188">
        <v>2</v>
      </c>
      <c r="U188">
        <v>100</v>
      </c>
      <c r="V188">
        <v>4</v>
      </c>
      <c r="W188">
        <v>100</v>
      </c>
      <c r="AB188" t="s">
        <v>203</v>
      </c>
      <c r="AD188">
        <v>2</v>
      </c>
      <c r="AF188" t="s">
        <v>65</v>
      </c>
    </row>
    <row r="189" spans="1:32">
      <c r="A189" t="str">
        <f>Hyperlink("https://www.diodes.com/part/view/MMBD914","MMBD914")</f>
        <v>MMBD914</v>
      </c>
      <c r="B189" t="str">
        <f>Hyperlink("https://www.diodes.com/assets/Datasheets/BAS16_MMBD4148_MMBD914.pdf","MMBD914 Datasheet")</f>
        <v>MMBD914 Datasheet</v>
      </c>
      <c r="C189" t="s">
        <v>32</v>
      </c>
      <c r="D189" t="s">
        <v>33</v>
      </c>
      <c r="E189" t="s">
        <v>34</v>
      </c>
      <c r="F189" t="s">
        <v>35</v>
      </c>
      <c r="G189" t="s">
        <v>36</v>
      </c>
      <c r="H189">
        <v>350</v>
      </c>
      <c r="I189" t="s">
        <v>33</v>
      </c>
      <c r="J189">
        <v>75</v>
      </c>
      <c r="K189">
        <v>4</v>
      </c>
      <c r="L189">
        <v>200</v>
      </c>
      <c r="M189">
        <v>2</v>
      </c>
      <c r="N189">
        <v>1</v>
      </c>
      <c r="O189">
        <v>1</v>
      </c>
      <c r="Q189">
        <v>2</v>
      </c>
      <c r="U189">
        <v>75</v>
      </c>
      <c r="V189">
        <v>4</v>
      </c>
      <c r="W189">
        <v>75</v>
      </c>
      <c r="AB189" t="s">
        <v>70</v>
      </c>
      <c r="AD189">
        <v>2</v>
      </c>
      <c r="AF189" t="s">
        <v>65</v>
      </c>
    </row>
    <row r="190" spans="1:32">
      <c r="A190" t="str">
        <f>Hyperlink("https://www.diodes.com/part/view/SDA004","SDA004")</f>
        <v>SDA004</v>
      </c>
      <c r="B190" t="str">
        <f>Hyperlink("https://www.diodes.com/assets/Datasheets/SDA004.pdf","SDA004 Datasheet")</f>
        <v>SDA004 Datasheet</v>
      </c>
      <c r="C190" t="s">
        <v>32</v>
      </c>
      <c r="D190" t="s">
        <v>39</v>
      </c>
      <c r="E190" t="s">
        <v>34</v>
      </c>
      <c r="F190" t="s">
        <v>130</v>
      </c>
      <c r="G190" t="s">
        <v>36</v>
      </c>
      <c r="H190">
        <v>200</v>
      </c>
      <c r="I190" t="s">
        <v>33</v>
      </c>
      <c r="J190">
        <v>80</v>
      </c>
      <c r="K190">
        <v>4</v>
      </c>
      <c r="L190">
        <v>500</v>
      </c>
      <c r="M190">
        <v>20</v>
      </c>
      <c r="N190">
        <v>1</v>
      </c>
      <c r="O190">
        <v>0.1</v>
      </c>
      <c r="Q190">
        <v>5.3</v>
      </c>
      <c r="U190">
        <v>80</v>
      </c>
      <c r="V190">
        <v>4</v>
      </c>
      <c r="W190">
        <v>70</v>
      </c>
      <c r="AB190" t="s">
        <v>198</v>
      </c>
      <c r="AF190" t="s">
        <v>79</v>
      </c>
    </row>
    <row r="191" spans="1:32">
      <c r="A191" t="str">
        <f>Hyperlink("https://www.diodes.com/part/view/SDA006","SDA006")</f>
        <v>SDA006</v>
      </c>
      <c r="B191" t="str">
        <f>Hyperlink("https://www.diodes.com/assets/Datasheets/ds30559.pdf","SDA006 Datasheet")</f>
        <v>SDA006 Datasheet</v>
      </c>
      <c r="C191" t="s">
        <v>32</v>
      </c>
      <c r="D191" t="s">
        <v>39</v>
      </c>
      <c r="E191" t="s">
        <v>34</v>
      </c>
      <c r="F191" t="s">
        <v>204</v>
      </c>
      <c r="G191" t="s">
        <v>36</v>
      </c>
      <c r="H191">
        <v>300</v>
      </c>
      <c r="I191" t="s">
        <v>33</v>
      </c>
      <c r="J191">
        <v>75</v>
      </c>
      <c r="K191">
        <v>4</v>
      </c>
      <c r="L191">
        <v>215</v>
      </c>
      <c r="M191">
        <v>1</v>
      </c>
      <c r="N191">
        <v>1</v>
      </c>
      <c r="O191">
        <v>2.5</v>
      </c>
      <c r="Q191">
        <v>2</v>
      </c>
      <c r="U191" t="s">
        <v>143</v>
      </c>
      <c r="V191">
        <v>4</v>
      </c>
      <c r="W191">
        <v>75</v>
      </c>
      <c r="AB191" t="s">
        <v>144</v>
      </c>
      <c r="AF191" t="s">
        <v>79</v>
      </c>
    </row>
  </sheetData>
  <hyperlinks>
    <hyperlink ref="A2" r:id="rId_hyperlink_1" tooltip="1N4148W" display="1N4148W"/>
    <hyperlink ref="A3" r:id="rId_hyperlink_2" tooltip="1N4148WQ" display="1N4148WQ"/>
    <hyperlink ref="A4" r:id="rId_hyperlink_3" tooltip="1N4148WS" display="1N4148WS"/>
    <hyperlink ref="A5" r:id="rId_hyperlink_4" tooltip="1N4148WS(LS)" display="1N4148WS(LS)"/>
    <hyperlink ref="A6" r:id="rId_hyperlink_5" tooltip="1N4148WSF" display="1N4148WSF"/>
    <hyperlink ref="A7" r:id="rId_hyperlink_6" tooltip="1N4148WSQ" display="1N4148WSQ"/>
    <hyperlink ref="A8" r:id="rId_hyperlink_7" tooltip="1N4148WT" display="1N4148WT"/>
    <hyperlink ref="A9" r:id="rId_hyperlink_8" tooltip="1N4148WTF(LS)" display="1N4148WTF(LS)"/>
    <hyperlink ref="A10" r:id="rId_hyperlink_9" tooltip="1N4448HLP" display="1N4448HLP"/>
    <hyperlink ref="A11" r:id="rId_hyperlink_10" tooltip="1N4448HWS" display="1N4448HWS"/>
    <hyperlink ref="A12" r:id="rId_hyperlink_11" tooltip="1N4448HWSQ" display="1N4448HWSQ"/>
    <hyperlink ref="A13" r:id="rId_hyperlink_12" tooltip="1N4448HWT" display="1N4448HWT"/>
    <hyperlink ref="A14" r:id="rId_hyperlink_13" tooltip="1N4448W" display="1N4448W"/>
    <hyperlink ref="A15" r:id="rId_hyperlink_14" tooltip="1N4448WS" display="1N4448WS"/>
    <hyperlink ref="A16" r:id="rId_hyperlink_15" tooltip="1N4448WSF" display="1N4448WSF"/>
    <hyperlink ref="A17" r:id="rId_hyperlink_16" tooltip="1N4448WTF(LS)" display="1N4448WTF(LS)"/>
    <hyperlink ref="A18" r:id="rId_hyperlink_17" tooltip="1SS355(LS)" display="1SS355(LS)"/>
    <hyperlink ref="A19" r:id="rId_hyperlink_18" tooltip="1SS361LP3" display="1SS361LP3"/>
    <hyperlink ref="A20" r:id="rId_hyperlink_19" tooltip="1SS361LPH4" display="1SS361LPH4"/>
    <hyperlink ref="A21" r:id="rId_hyperlink_20" tooltip="1SS361UDJ" display="1SS361UDJ"/>
    <hyperlink ref="A22" r:id="rId_hyperlink_21" tooltip="1SS400(LS)" display="1SS400(LS)"/>
    <hyperlink ref="A23" r:id="rId_hyperlink_22" tooltip="1SS400F(LS)" display="1SS400F(LS)"/>
    <hyperlink ref="A24" r:id="rId_hyperlink_23" tooltip="BAL99" display="BAL99"/>
    <hyperlink ref="A25" r:id="rId_hyperlink_24" tooltip="BAS116" display="BAS116"/>
    <hyperlink ref="A26" r:id="rId_hyperlink_25" tooltip="BAS116LPH4" display="BAS116LPH4"/>
    <hyperlink ref="A27" r:id="rId_hyperlink_26" tooltip="BAS116T" display="BAS116T"/>
    <hyperlink ref="A28" r:id="rId_hyperlink_27" tooltip="BAS116V" display="BAS116V"/>
    <hyperlink ref="A29" r:id="rId_hyperlink_28" tooltip="BAS16" display="BAS16"/>
    <hyperlink ref="A30" r:id="rId_hyperlink_29" tooltip="BAS16F(LS)" display="BAS16F(LS)"/>
    <hyperlink ref="A31" r:id="rId_hyperlink_30" tooltip="BAS16HLP" display="BAS16HLP"/>
    <hyperlink ref="A32" r:id="rId_hyperlink_31" tooltip="BAS16HLPQ" display="BAS16HLPQ"/>
    <hyperlink ref="A33" r:id="rId_hyperlink_32" tooltip="BAS16HTW" display="BAS16HTW"/>
    <hyperlink ref="A34" r:id="rId_hyperlink_33" tooltip="BAS16HTWQ" display="BAS16HTWQ"/>
    <hyperlink ref="A35" r:id="rId_hyperlink_34" tooltip="BAS16LP" display="BAS16LP"/>
    <hyperlink ref="A36" r:id="rId_hyperlink_35" tooltip="BAS16LPQ" display="BAS16LPQ"/>
    <hyperlink ref="A37" r:id="rId_hyperlink_36" tooltip="BAS16T" display="BAS16T"/>
    <hyperlink ref="A38" r:id="rId_hyperlink_37" tooltip="BAS16TW" display="BAS16TW"/>
    <hyperlink ref="A39" r:id="rId_hyperlink_38" tooltip="BAS16TWQ" display="BAS16TWQ"/>
    <hyperlink ref="A40" r:id="rId_hyperlink_39" tooltip="BAS16V" display="BAS16V"/>
    <hyperlink ref="A41" r:id="rId_hyperlink_40" tooltip="BAS16VA" display="BAS16VA"/>
    <hyperlink ref="A42" r:id="rId_hyperlink_41" tooltip="BAS16VAQ" display="BAS16VAQ"/>
    <hyperlink ref="A43" r:id="rId_hyperlink_42" tooltip="BAS16VV" display="BAS16VV"/>
    <hyperlink ref="A44" r:id="rId_hyperlink_43" tooltip="BAS16VVQ" display="BAS16VVQ"/>
    <hyperlink ref="A45" r:id="rId_hyperlink_44" tooltip="BAS16W" display="BAS16W"/>
    <hyperlink ref="A46" r:id="rId_hyperlink_45" tooltip="BAS16W(LS)" display="BAS16W(LS)"/>
    <hyperlink ref="A47" r:id="rId_hyperlink_46" tooltip="BAS19" display="BAS19"/>
    <hyperlink ref="A48" r:id="rId_hyperlink_47" tooltip="BAS19W" display="BAS19W"/>
    <hyperlink ref="A49" r:id="rId_hyperlink_48" tooltip="BAS20" display="BAS20"/>
    <hyperlink ref="A50" r:id="rId_hyperlink_49" tooltip="BAS20DW" display="BAS20DW"/>
    <hyperlink ref="A51" r:id="rId_hyperlink_50" tooltip="BAS20W" display="BAS20W"/>
    <hyperlink ref="A52" r:id="rId_hyperlink_51" tooltip="BAS21" display="BAS21"/>
    <hyperlink ref="A53" r:id="rId_hyperlink_52" tooltip="BAS21(LS)" display="BAS21(LS)"/>
    <hyperlink ref="A54" r:id="rId_hyperlink_53" tooltip="BAS21C(LS)" display="BAS21C(LS)"/>
    <hyperlink ref="A55" r:id="rId_hyperlink_54" tooltip="BAS21DW" display="BAS21DW"/>
    <hyperlink ref="A56" r:id="rId_hyperlink_55" tooltip="BAS21DWA" display="BAS21DWA"/>
    <hyperlink ref="A57" r:id="rId_hyperlink_56" tooltip="BAS21S(LS)" display="BAS21S(LS)"/>
    <hyperlink ref="A58" r:id="rId_hyperlink_57" tooltip="BAS21T" display="BAS21T"/>
    <hyperlink ref="A59" r:id="rId_hyperlink_58" tooltip="BAS21TM" display="BAS21TM"/>
    <hyperlink ref="A60" r:id="rId_hyperlink_59" tooltip="BAS21TMQ" display="BAS21TMQ"/>
    <hyperlink ref="A61" r:id="rId_hyperlink_60" tooltip="BAS21TW" display="BAS21TW"/>
    <hyperlink ref="A62" r:id="rId_hyperlink_61" tooltip="BAS21TWQ" display="BAS21TWQ"/>
    <hyperlink ref="A63" r:id="rId_hyperlink_62" tooltip="BAS21W" display="BAS21W"/>
    <hyperlink ref="A64" r:id="rId_hyperlink_63" tooltip="BAS21WQ" display="BAS21WQ"/>
    <hyperlink ref="A65" r:id="rId_hyperlink_64" tooltip="BAS28" display="BAS28"/>
    <hyperlink ref="A66" r:id="rId_hyperlink_65" tooltip="BAS28Q" display="BAS28Q"/>
    <hyperlink ref="A67" r:id="rId_hyperlink_66" tooltip="BAS299" display="BAS299"/>
    <hyperlink ref="A68" r:id="rId_hyperlink_67" tooltip="BAS516(LS)" display="BAS516(LS)"/>
    <hyperlink ref="A69" r:id="rId_hyperlink_68" tooltip="BAS521" display="BAS521"/>
    <hyperlink ref="A70" r:id="rId_hyperlink_69" tooltip="BAS521Q" display="BAS521Q"/>
    <hyperlink ref="A71" r:id="rId_hyperlink_70" tooltip="BAV116HWF" display="BAV116HWF"/>
    <hyperlink ref="A72" r:id="rId_hyperlink_71" tooltip="BAV116HWFQ" display="BAV116HWFQ"/>
    <hyperlink ref="A73" r:id="rId_hyperlink_72" tooltip="BAV116T" display="BAV116T"/>
    <hyperlink ref="A74" r:id="rId_hyperlink_73" tooltip="BAV116W" display="BAV116W"/>
    <hyperlink ref="A75" r:id="rId_hyperlink_74" tooltip="BAV116WQ" display="BAV116WQ"/>
    <hyperlink ref="A76" r:id="rId_hyperlink_75" tooltip="BAV116WS" display="BAV116WS"/>
    <hyperlink ref="A77" r:id="rId_hyperlink_76" tooltip="BAV116WSQ" display="BAV116WSQ"/>
    <hyperlink ref="A78" r:id="rId_hyperlink_77" tooltip="BAV16S92" display="BAV16S92"/>
    <hyperlink ref="A79" r:id="rId_hyperlink_78" tooltip="BAV16W" display="BAV16W"/>
    <hyperlink ref="A80" r:id="rId_hyperlink_79" tooltip="BAV16WS" display="BAV16WS"/>
    <hyperlink ref="A81" r:id="rId_hyperlink_80" tooltip="BAV170" display="BAV170"/>
    <hyperlink ref="A82" r:id="rId_hyperlink_81" tooltip="BAV170T" display="BAV170T"/>
    <hyperlink ref="A83" r:id="rId_hyperlink_82" tooltip="BAV199" display="BAV199"/>
    <hyperlink ref="A84" r:id="rId_hyperlink_83" tooltip="BAV199DW" display="BAV199DW"/>
    <hyperlink ref="A85" r:id="rId_hyperlink_84" tooltip="BAV199DWQ" display="BAV199DWQ"/>
    <hyperlink ref="A86" r:id="rId_hyperlink_85" tooltip="BAV199T" display="BAV199T"/>
    <hyperlink ref="A87" r:id="rId_hyperlink_86" tooltip="BAV199TQ" display="BAV199TQ"/>
    <hyperlink ref="A88" r:id="rId_hyperlink_87" tooltip="BAV199W" display="BAV199W"/>
    <hyperlink ref="A89" r:id="rId_hyperlink_88" tooltip="BAV199WQ" display="BAV199WQ"/>
    <hyperlink ref="A90" r:id="rId_hyperlink_89" tooltip="BAV19W" display="BAV19W"/>
    <hyperlink ref="A91" r:id="rId_hyperlink_90" tooltip="BAV19WS" display="BAV19WS"/>
    <hyperlink ref="A92" r:id="rId_hyperlink_91" tooltip="BAV20W" display="BAV20W"/>
    <hyperlink ref="A93" r:id="rId_hyperlink_92" tooltip="BAV20WS" display="BAV20WS"/>
    <hyperlink ref="A94" r:id="rId_hyperlink_93" tooltip="BAV21HWF" display="BAV21HWF"/>
    <hyperlink ref="A95" r:id="rId_hyperlink_94" tooltip="BAV21HWFQ" display="BAV21HWFQ"/>
    <hyperlink ref="A96" r:id="rId_hyperlink_95" tooltip="BAV21W" display="BAV21W"/>
    <hyperlink ref="A97" r:id="rId_hyperlink_96" tooltip="BAV21W(LS)" display="BAV21W(LS)"/>
    <hyperlink ref="A98" r:id="rId_hyperlink_97" tooltip="BAV21WF(LS)" display="BAV21WF(LS)"/>
    <hyperlink ref="A99" r:id="rId_hyperlink_98" tooltip="BAV21WS" display="BAV21WS"/>
    <hyperlink ref="A100" r:id="rId_hyperlink_99" tooltip="BAV21WS(LS)" display="BAV21WS(LS)"/>
    <hyperlink ref="A101" r:id="rId_hyperlink_100" tooltip="BAV23" display="BAV23"/>
    <hyperlink ref="A102" r:id="rId_hyperlink_101" tooltip="BAV23A" display="BAV23A"/>
    <hyperlink ref="A103" r:id="rId_hyperlink_102" tooltip="BAV23AQ" display="BAV23AQ"/>
    <hyperlink ref="A104" r:id="rId_hyperlink_103" tooltip="BAV23C" display="BAV23C"/>
    <hyperlink ref="A105" r:id="rId_hyperlink_104" tooltip="BAV23CQ" display="BAV23CQ"/>
    <hyperlink ref="A106" r:id="rId_hyperlink_105" tooltip="BAV23S" display="BAV23S"/>
    <hyperlink ref="A107" r:id="rId_hyperlink_106" tooltip="BAV23SQ" display="BAV23SQ"/>
    <hyperlink ref="A108" r:id="rId_hyperlink_107" tooltip="BAV70" display="BAV70"/>
    <hyperlink ref="A109" r:id="rId_hyperlink_108" tooltip="BAV70(LS)" display="BAV70(LS)"/>
    <hyperlink ref="A110" r:id="rId_hyperlink_109" tooltip="BAV70DV" display="BAV70DV"/>
    <hyperlink ref="A111" r:id="rId_hyperlink_110" tooltip="BAV70DW" display="BAV70DW"/>
    <hyperlink ref="A112" r:id="rId_hyperlink_111" tooltip="BAV70HDW" display="BAV70HDW"/>
    <hyperlink ref="A113" r:id="rId_hyperlink_112" tooltip="BAV70HDWQ" display="BAV70HDWQ"/>
    <hyperlink ref="A114" r:id="rId_hyperlink_113" tooltip="BAV70LP" display="BAV70LP"/>
    <hyperlink ref="A115" r:id="rId_hyperlink_114" tooltip="BAV70T" display="BAV70T"/>
    <hyperlink ref="A116" r:id="rId_hyperlink_115" tooltip="BAV70W" display="BAV70W"/>
    <hyperlink ref="A117" r:id="rId_hyperlink_116" tooltip="BAV70W(LS)" display="BAV70W(LS)"/>
    <hyperlink ref="A118" r:id="rId_hyperlink_117" tooltip="BAV756DW" display="BAV756DW"/>
    <hyperlink ref="A119" r:id="rId_hyperlink_118" tooltip="BAV99" display="BAV99"/>
    <hyperlink ref="A120" r:id="rId_hyperlink_119" tooltip="BAV99(LS)" display="BAV99(LS)"/>
    <hyperlink ref="A121" r:id="rId_hyperlink_120" tooltip="BAV99BRV" display="BAV99BRV"/>
    <hyperlink ref="A122" r:id="rId_hyperlink_121" tooltip="BAV99BRVA" display="BAV99BRVA"/>
    <hyperlink ref="A123" r:id="rId_hyperlink_122" tooltip="BAV99BRW" display="BAV99BRW"/>
    <hyperlink ref="A124" r:id="rId_hyperlink_123" tooltip="BAV99DW" display="BAV99DW"/>
    <hyperlink ref="A125" r:id="rId_hyperlink_124" tooltip="BAV99DWQ" display="BAV99DWQ"/>
    <hyperlink ref="A126" r:id="rId_hyperlink_125" tooltip="BAV99HDW" display="BAV99HDW"/>
    <hyperlink ref="A127" r:id="rId_hyperlink_126" tooltip="BAV99HDWQ" display="BAV99HDWQ"/>
    <hyperlink ref="A128" r:id="rId_hyperlink_127" tooltip="BAV99Q" display="BAV99Q"/>
    <hyperlink ref="A129" r:id="rId_hyperlink_128" tooltip="BAV99T" display="BAV99T"/>
    <hyperlink ref="A130" r:id="rId_hyperlink_129" tooltip="BAV99W" display="BAV99W"/>
    <hyperlink ref="A131" r:id="rId_hyperlink_130" tooltip="BAV99W(LS)" display="BAV99W(LS)"/>
    <hyperlink ref="A132" r:id="rId_hyperlink_131" tooltip="BAW101" display="BAW101"/>
    <hyperlink ref="A133" r:id="rId_hyperlink_132" tooltip="BAW101Q" display="BAW101Q"/>
    <hyperlink ref="A134" r:id="rId_hyperlink_133" tooltip="BAW101S" display="BAW101S"/>
    <hyperlink ref="A135" r:id="rId_hyperlink_134" tooltip="BAW156" display="BAW156"/>
    <hyperlink ref="A136" r:id="rId_hyperlink_135" tooltip="BAW156T" display="BAW156T"/>
    <hyperlink ref="A137" r:id="rId_hyperlink_136" tooltip="BAW156TQ" display="BAW156TQ"/>
    <hyperlink ref="A138" r:id="rId_hyperlink_137" tooltip="BAW56" display="BAW56"/>
    <hyperlink ref="A139" r:id="rId_hyperlink_138" tooltip="BAW56(LS)" display="BAW56(LS)"/>
    <hyperlink ref="A140" r:id="rId_hyperlink_139" tooltip="BAW567DW" display="BAW567DW"/>
    <hyperlink ref="A141" r:id="rId_hyperlink_140" tooltip="BAW56DW" display="BAW56DW"/>
    <hyperlink ref="A142" r:id="rId_hyperlink_141" tooltip="BAW56HDW" display="BAW56HDW"/>
    <hyperlink ref="A143" r:id="rId_hyperlink_142" tooltip="BAW56HDWQ" display="BAW56HDWQ"/>
    <hyperlink ref="A144" r:id="rId_hyperlink_143" tooltip="BAW56T" display="BAW56T"/>
    <hyperlink ref="A145" r:id="rId_hyperlink_144" tooltip="BAW56W" display="BAW56W"/>
    <hyperlink ref="A146" r:id="rId_hyperlink_145" tooltip="DHVSD3004AS" display="DHVSD3004AS"/>
    <hyperlink ref="A147" r:id="rId_hyperlink_146" tooltip="DHVSD3004ASQ" display="DHVSD3004ASQ"/>
    <hyperlink ref="A148" r:id="rId_hyperlink_147" tooltip="DHVSD3004CS" display="DHVSD3004CS"/>
    <hyperlink ref="A149" r:id="rId_hyperlink_148" tooltip="DHVSD3004CSQ" display="DHVSD3004CSQ"/>
    <hyperlink ref="A150" r:id="rId_hyperlink_149" tooltip="DHVSD3004S1" display="DHVSD3004S1"/>
    <hyperlink ref="A151" r:id="rId_hyperlink_150" tooltip="DHVSD3004S1Q" display="DHVSD3004S1Q"/>
    <hyperlink ref="A152" r:id="rId_hyperlink_151" tooltip="DHVSD3004SS" display="DHVSD3004SS"/>
    <hyperlink ref="A153" r:id="rId_hyperlink_152" tooltip="DHVSD3004SSQ" display="DHVSD3004SSQ"/>
    <hyperlink ref="A154" r:id="rId_hyperlink_153" tooltip="DHVSD521LP" display="DHVSD521LP"/>
    <hyperlink ref="A155" r:id="rId_hyperlink_154" tooltip="DHVSD521T5" display="DHVSD521T5"/>
    <hyperlink ref="A156" r:id="rId_hyperlink_155" tooltip="DLLFSD01LP3" display="DLLFSD01LP3"/>
    <hyperlink ref="A157" r:id="rId_hyperlink_156" tooltip="DLLFSD01LP3Q" display="DLLFSD01LP3Q"/>
    <hyperlink ref="A158" r:id="rId_hyperlink_157" tooltip="DLLFSD01LPH4" display="DLLFSD01LPH4"/>
    <hyperlink ref="A159" r:id="rId_hyperlink_158" tooltip="DLLFSD01T" display="DLLFSD01T"/>
    <hyperlink ref="A160" r:id="rId_hyperlink_159" tooltip="DLPA004" display="DLPA004"/>
    <hyperlink ref="A161" r:id="rId_hyperlink_160" tooltip="LL4148(LS)" display="LL4148(LS)"/>
    <hyperlink ref="A162" r:id="rId_hyperlink_161" tooltip="MMBD2004S" display="MMBD2004S"/>
    <hyperlink ref="A163" r:id="rId_hyperlink_162" tooltip="MMBD2004SQ" display="MMBD2004SQ"/>
    <hyperlink ref="A164" r:id="rId_hyperlink_163" tooltip="MMBD2004SW" display="MMBD2004SW"/>
    <hyperlink ref="A165" r:id="rId_hyperlink_164" tooltip="MMBD4148" display="MMBD4148"/>
    <hyperlink ref="A166" r:id="rId_hyperlink_165" tooltip="MMBD4148PLM" display="MMBD4148PLM"/>
    <hyperlink ref="A167" r:id="rId_hyperlink_166" tooltip="MMBD4148TW" display="MMBD4148TW"/>
    <hyperlink ref="A168" r:id="rId_hyperlink_167" tooltip="MMBD4148W" display="MMBD4148W"/>
    <hyperlink ref="A169" r:id="rId_hyperlink_168" tooltip="MMBD4448" display="MMBD4448"/>
    <hyperlink ref="A170" r:id="rId_hyperlink_169" tooltip="MMBD4448DW" display="MMBD4448DW"/>
    <hyperlink ref="A171" r:id="rId_hyperlink_170" tooltip="MMBD4448H" display="MMBD4448H"/>
    <hyperlink ref="A172" r:id="rId_hyperlink_171" tooltip="MMBD4448HADW" display="MMBD4448HADW"/>
    <hyperlink ref="A173" r:id="rId_hyperlink_172" tooltip="MMBD4448HAQW" display="MMBD4448HAQW"/>
    <hyperlink ref="A174" r:id="rId_hyperlink_173" tooltip="MMBD4448HCDW" display="MMBD4448HCDW"/>
    <hyperlink ref="A175" r:id="rId_hyperlink_174" tooltip="MMBD4448HCQW" display="MMBD4448HCQW"/>
    <hyperlink ref="A176" r:id="rId_hyperlink_175" tooltip="MMBD4448HSDW" display="MMBD4448HSDW"/>
    <hyperlink ref="A177" r:id="rId_hyperlink_176" tooltip="MMBD4448HT" display="MMBD4448HT"/>
    <hyperlink ref="A178" r:id="rId_hyperlink_177" tooltip="MMBD4448HTA" display="MMBD4448HTA"/>
    <hyperlink ref="A179" r:id="rId_hyperlink_178" tooltip="MMBD4448HTC" display="MMBD4448HTC"/>
    <hyperlink ref="A180" r:id="rId_hyperlink_179" tooltip="MMBD4448HTM" display="MMBD4448HTM"/>
    <hyperlink ref="A181" r:id="rId_hyperlink_180" tooltip="MMBD4448HTS" display="MMBD4448HTS"/>
    <hyperlink ref="A182" r:id="rId_hyperlink_181" tooltip="MMBD4448HTW" display="MMBD4448HTW"/>
    <hyperlink ref="A183" r:id="rId_hyperlink_182" tooltip="MMBD4448HW" display="MMBD4448HW"/>
    <hyperlink ref="A184" r:id="rId_hyperlink_183" tooltip="MMBD4448V" display="MMBD4448V"/>
    <hyperlink ref="A185" r:id="rId_hyperlink_184" tooltip="MMBD4448W" display="MMBD4448W"/>
    <hyperlink ref="A186" r:id="rId_hyperlink_185" tooltip="MMBD7000" display="MMBD7000"/>
    <hyperlink ref="A187" r:id="rId_hyperlink_186" tooltip="MMBD7000HC" display="MMBD7000HC"/>
    <hyperlink ref="A188" r:id="rId_hyperlink_187" tooltip="MMBD7000HS" display="MMBD7000HS"/>
    <hyperlink ref="A189" r:id="rId_hyperlink_188" tooltip="MMBD914" display="MMBD914"/>
    <hyperlink ref="A190" r:id="rId_hyperlink_189" tooltip="SDA004" display="SDA004"/>
    <hyperlink ref="A191" r:id="rId_hyperlink_190" tooltip="SDA006" display="SDA006"/>
    <hyperlink ref="B2" r:id="rId_hyperlink_191" tooltip="1N4148W Datasheet" display="1N4148W Datasheet"/>
    <hyperlink ref="B3" r:id="rId_hyperlink_192" tooltip="1N4148WQ Datasheet" display="1N4148WQ Datasheet"/>
    <hyperlink ref="B4" r:id="rId_hyperlink_193" tooltip="1N4148WS Datasheet" display="1N4148WS Datasheet"/>
    <hyperlink ref="B5" r:id="rId_hyperlink_194" tooltip="1N4148WS(LS) Datasheet" display="1N4148WS(LS) Datasheet"/>
    <hyperlink ref="B6" r:id="rId_hyperlink_195" tooltip="1N4148WSF Datasheet" display="1N4148WSF Datasheet"/>
    <hyperlink ref="B7" r:id="rId_hyperlink_196" tooltip="1N4148WSQ Datasheet" display="1N4148WSQ Datasheet"/>
    <hyperlink ref="B8" r:id="rId_hyperlink_197" tooltip="1N4148WT Datasheet" display="1N4148WT Datasheet"/>
    <hyperlink ref="B9" r:id="rId_hyperlink_198" tooltip="1N4148WTF(LS) Datasheet" display="1N4148WTF(LS) Datasheet"/>
    <hyperlink ref="B10" r:id="rId_hyperlink_199" tooltip="1N4448HLP Datasheet" display="1N4448HLP Datasheet"/>
    <hyperlink ref="B11" r:id="rId_hyperlink_200" tooltip="1N4448HWS Datasheet" display="1N4448HWS Datasheet"/>
    <hyperlink ref="B12" r:id="rId_hyperlink_201" tooltip="1N4448HWSQ Datasheet" display="1N4448HWSQ Datasheet"/>
    <hyperlink ref="B13" r:id="rId_hyperlink_202" tooltip="1N4448HWT Datasheet" display="1N4448HWT Datasheet"/>
    <hyperlink ref="B14" r:id="rId_hyperlink_203" tooltip="1N4448W Datasheet" display="1N4448W Datasheet"/>
    <hyperlink ref="B15" r:id="rId_hyperlink_204" tooltip="1N4448WS Datasheet" display="1N4448WS Datasheet"/>
    <hyperlink ref="B16" r:id="rId_hyperlink_205" tooltip="1N4448WSF Datasheet" display="1N4448WSF Datasheet"/>
    <hyperlink ref="B17" r:id="rId_hyperlink_206" tooltip="1N4448WTF(LS) Datasheet" display="1N4448WTF(LS) Datasheet"/>
    <hyperlink ref="B18" r:id="rId_hyperlink_207" tooltip="1SS355(LS) Datasheet" display="1SS355(LS) Datasheet"/>
    <hyperlink ref="B19" r:id="rId_hyperlink_208" tooltip="1SS361LP3 Datasheet" display="1SS361LP3 Datasheet"/>
    <hyperlink ref="B20" r:id="rId_hyperlink_209" tooltip="1SS361LPH4 Datasheet" display="1SS361LPH4 Datasheet"/>
    <hyperlink ref="B21" r:id="rId_hyperlink_210" tooltip="1SS361UDJ Datasheet" display="1SS361UDJ Datasheet"/>
    <hyperlink ref="B22" r:id="rId_hyperlink_211" tooltip="1SS400(LS) Datasheet" display="1SS400(LS) Datasheet"/>
    <hyperlink ref="B23" r:id="rId_hyperlink_212" tooltip="1SS400F(LS) Datasheet" display="1SS400F(LS) Datasheet"/>
    <hyperlink ref="B24" r:id="rId_hyperlink_213" tooltip="BAL99 Datasheet" display="BAL99 Datasheet"/>
    <hyperlink ref="B25" r:id="rId_hyperlink_214" tooltip="BAS116 Datasheet" display="BAS116 Datasheet"/>
    <hyperlink ref="B26" r:id="rId_hyperlink_215" tooltip="BAS116LPH4 Datasheet" display="BAS116LPH4 Datasheet"/>
    <hyperlink ref="B27" r:id="rId_hyperlink_216" tooltip="BAS116T Datasheet" display="BAS116T Datasheet"/>
    <hyperlink ref="B28" r:id="rId_hyperlink_217" tooltip="BAS116V Datasheet" display="BAS116V Datasheet"/>
    <hyperlink ref="B29" r:id="rId_hyperlink_218" tooltip="BAS16 Datasheet" display="BAS16 Datasheet"/>
    <hyperlink ref="B30" r:id="rId_hyperlink_219" tooltip="BAS16F(LS) Datasheet" display="BAS16F(LS) Datasheet"/>
    <hyperlink ref="B31" r:id="rId_hyperlink_220" tooltip="BAS16HLP Datasheet" display="BAS16HLP Datasheet"/>
    <hyperlink ref="B32" r:id="rId_hyperlink_221" tooltip="BAS16HLPQ Datasheet" display="BAS16HLPQ Datasheet"/>
    <hyperlink ref="B33" r:id="rId_hyperlink_222" tooltip="BAS16HTW Datasheet" display="BAS16HTW Datasheet"/>
    <hyperlink ref="B34" r:id="rId_hyperlink_223" tooltip="BAS16HTWQ Datasheet" display="BAS16HTWQ Datasheet"/>
    <hyperlink ref="B35" r:id="rId_hyperlink_224" tooltip="BAS16LP Datasheet" display="BAS16LP Datasheet"/>
    <hyperlink ref="B36" r:id="rId_hyperlink_225" tooltip="BAS16LPQ Datasheet" display="BAS16LPQ Datasheet"/>
    <hyperlink ref="B37" r:id="rId_hyperlink_226" tooltip="BAS16T Datasheet" display="BAS16T Datasheet"/>
    <hyperlink ref="B38" r:id="rId_hyperlink_227" tooltip="MMBD4148TW Datasheet" display="MMBD4148TW Datasheet"/>
    <hyperlink ref="B39" r:id="rId_hyperlink_228" tooltip="BAS16TWQ Datasheet" display="BAS16TWQ Datasheet"/>
    <hyperlink ref="B40" r:id="rId_hyperlink_229" tooltip="BAS16V Datasheet" display="BAS16V Datasheet"/>
    <hyperlink ref="B41" r:id="rId_hyperlink_230" tooltip="BAS16VA Datasheet" display="BAS16VA Datasheet"/>
    <hyperlink ref="B42" r:id="rId_hyperlink_231" tooltip="BAS16VAQ Datasheet" display="BAS16VAQ Datasheet"/>
    <hyperlink ref="B43" r:id="rId_hyperlink_232" tooltip="BAS16VV Datasheet" display="BAS16VV Datasheet"/>
    <hyperlink ref="B44" r:id="rId_hyperlink_233" tooltip="BAS16VVQ Datasheet" display="BAS16VVQ Datasheet"/>
    <hyperlink ref="B45" r:id="rId_hyperlink_234" tooltip="BAS16W Datasheet" display="BAS16W Datasheet"/>
    <hyperlink ref="B46" r:id="rId_hyperlink_235" tooltip="BAS16W(LS) Datasheet" display="BAS16W(LS) Datasheet"/>
    <hyperlink ref="B47" r:id="rId_hyperlink_236" tooltip="BAS19 Datasheet" display="BAS19 Datasheet"/>
    <hyperlink ref="B48" r:id="rId_hyperlink_237" tooltip="BAS19W Datasheet" display="BAS19W Datasheet"/>
    <hyperlink ref="B49" r:id="rId_hyperlink_238" tooltip="BAS20 Datasheet" display="BAS20 Datasheet"/>
    <hyperlink ref="B50" r:id="rId_hyperlink_239" tooltip="BAS20DW Datasheet" display="BAS20DW Datasheet"/>
    <hyperlink ref="B51" r:id="rId_hyperlink_240" tooltip="BAS20W Datasheet" display="BAS20W Datasheet"/>
    <hyperlink ref="B52" r:id="rId_hyperlink_241" tooltip="BAS21 Datasheet" display="BAS21 Datasheet"/>
    <hyperlink ref="B53" r:id="rId_hyperlink_242" tooltip="BAS21(LS) Datasheet" display="BAS21(LS) Datasheet"/>
    <hyperlink ref="B54" r:id="rId_hyperlink_243" tooltip="BAS21C(LS) Datasheet" display="BAS21C(LS) Datasheet"/>
    <hyperlink ref="B55" r:id="rId_hyperlink_244" tooltip="BAS21DW Datasheet" display="BAS21DW Datasheet"/>
    <hyperlink ref="B56" r:id="rId_hyperlink_245" tooltip="BAS21DWA Datasheet" display="BAS21DWA Datasheet"/>
    <hyperlink ref="B57" r:id="rId_hyperlink_246" tooltip="BAS21S(LS) Datasheet" display="BAS21S(LS) Datasheet"/>
    <hyperlink ref="B58" r:id="rId_hyperlink_247" tooltip="BAS21T Datasheet" display="BAS21T Datasheet"/>
    <hyperlink ref="B59" r:id="rId_hyperlink_248" tooltip="BAS21TM Datasheet" display="BAS21TM Datasheet"/>
    <hyperlink ref="B60" r:id="rId_hyperlink_249" tooltip="BAS21TMQ Datasheet" display="BAS21TMQ Datasheet"/>
    <hyperlink ref="B61" r:id="rId_hyperlink_250" tooltip="BAS21TW Datasheet" display="BAS21TW Datasheet"/>
    <hyperlink ref="B62" r:id="rId_hyperlink_251" tooltip="BAS21TWQ Datasheet" display="BAS21TWQ Datasheet"/>
    <hyperlink ref="B63" r:id="rId_hyperlink_252" tooltip="BAS21W Datasheet" display="BAS21W Datasheet"/>
    <hyperlink ref="B64" r:id="rId_hyperlink_253" tooltip="BAS21WQ Datasheet" display="BAS21WQ Datasheet"/>
    <hyperlink ref="B65" r:id="rId_hyperlink_254" tooltip="BAS28 Datasheet" display="BAS28 Datasheet"/>
    <hyperlink ref="B66" r:id="rId_hyperlink_255" tooltip="BAS28Q Datasheet" display="BAS28Q Datasheet"/>
    <hyperlink ref="B67" r:id="rId_hyperlink_256" tooltip="BAS299 Datasheet" display="BAS299 Datasheet"/>
    <hyperlink ref="B68" r:id="rId_hyperlink_257" tooltip="BAS516(LS) Datasheet" display="BAS516(LS) Datasheet"/>
    <hyperlink ref="B69" r:id="rId_hyperlink_258" tooltip="BAS521 Datasheet" display="BAS521 Datasheet"/>
    <hyperlink ref="B70" r:id="rId_hyperlink_259" tooltip="BAS521Q Datasheet" display="BAS521Q Datasheet"/>
    <hyperlink ref="B71" r:id="rId_hyperlink_260" tooltip="BAV116HWF Datasheet" display="BAV116HWF Datasheet"/>
    <hyperlink ref="B72" r:id="rId_hyperlink_261" tooltip="BAV116HWFQ Datasheet" display="BAV116HWFQ Datasheet"/>
    <hyperlink ref="B73" r:id="rId_hyperlink_262" tooltip="BAV116T Datasheet" display="BAV116T Datasheet"/>
    <hyperlink ref="B74" r:id="rId_hyperlink_263" tooltip="BAV116W Datasheet" display="BAV116W Datasheet"/>
    <hyperlink ref="B75" r:id="rId_hyperlink_264" tooltip="BAV116WQ Datasheet" display="BAV116WQ Datasheet"/>
    <hyperlink ref="B76" r:id="rId_hyperlink_265" tooltip="BAV116WS Datasheet" display="BAV116WS Datasheet"/>
    <hyperlink ref="B77" r:id="rId_hyperlink_266" tooltip="BAV116WSQ Datasheet" display="BAV116WSQ Datasheet"/>
    <hyperlink ref="B78" r:id="rId_hyperlink_267" tooltip="BAV16S92 Datasheet" display="BAV16S92 Datasheet"/>
    <hyperlink ref="B79" r:id="rId_hyperlink_268" tooltip="BAV16W Datasheet" display="BAV16W Datasheet"/>
    <hyperlink ref="B80" r:id="rId_hyperlink_269" tooltip="BAV16WS Datasheet" display="BAV16WS Datasheet"/>
    <hyperlink ref="B81" r:id="rId_hyperlink_270" tooltip="BAV170 Datasheet" display="BAV170 Datasheet"/>
    <hyperlink ref="B82" r:id="rId_hyperlink_271" tooltip="BAV170T Datasheet" display="BAV170T Datasheet"/>
    <hyperlink ref="B83" r:id="rId_hyperlink_272" tooltip="BAV199 Datasheet" display="BAV199 Datasheet"/>
    <hyperlink ref="B84" r:id="rId_hyperlink_273" tooltip="BAV199DW Datasheet" display="BAV199DW Datasheet"/>
    <hyperlink ref="B85" r:id="rId_hyperlink_274" tooltip="BAV199DWQ Datasheet" display="BAV199DWQ Datasheet"/>
    <hyperlink ref="B86" r:id="rId_hyperlink_275" tooltip="BAV199T Datasheet" display="BAV199T Datasheet"/>
    <hyperlink ref="B87" r:id="rId_hyperlink_276" tooltip="BAV199TQ Datasheet" display="BAV199TQ Datasheet"/>
    <hyperlink ref="B88" r:id="rId_hyperlink_277" tooltip="BAV199W Datasheet" display="BAV199W Datasheet"/>
    <hyperlink ref="B89" r:id="rId_hyperlink_278" tooltip="BAV199WQ Datasheet" display="BAV199WQ Datasheet"/>
    <hyperlink ref="B90" r:id="rId_hyperlink_279" tooltip="BAV19W-BAV21W Datasheet" display="BAV19W-BAV21W Datasheet"/>
    <hyperlink ref="B91" r:id="rId_hyperlink_280" tooltip="BAV19WS Datasheet" display="BAV19WS Datasheet"/>
    <hyperlink ref="B92" r:id="rId_hyperlink_281" tooltip="BAV19W-BAV21W Datasheet" display="BAV19W-BAV21W Datasheet"/>
    <hyperlink ref="B93" r:id="rId_hyperlink_282" tooltip="BAV20WS Datasheet" display="BAV20WS Datasheet"/>
    <hyperlink ref="B94" r:id="rId_hyperlink_283" tooltip="BAV21HWF Datasheet" display="BAV21HWF Datasheet"/>
    <hyperlink ref="B95" r:id="rId_hyperlink_284" tooltip="BAV21HWFQ Datasheet" display="BAV21HWFQ Datasheet"/>
    <hyperlink ref="B96" r:id="rId_hyperlink_285" tooltip="BAV19W-BAV21W Datasheet" display="BAV19W-BAV21W Datasheet"/>
    <hyperlink ref="B97" r:id="rId_hyperlink_286" tooltip="BAV21W(LS) Datasheet" display="BAV21W(LS) Datasheet"/>
    <hyperlink ref="B98" r:id="rId_hyperlink_287" tooltip="BAV21WF(LS) Datasheet" display="BAV21WF(LS) Datasheet"/>
    <hyperlink ref="B99" r:id="rId_hyperlink_288" tooltip="BAV21WS Datasheet" display="BAV21WS Datasheet"/>
    <hyperlink ref="B100" r:id="rId_hyperlink_289" tooltip="BAV21WS(LS) Datasheet" display="BAV21WS(LS) Datasheet"/>
    <hyperlink ref="B101" r:id="rId_hyperlink_290" tooltip="BAV23 Datasheet" display="BAV23 Datasheet"/>
    <hyperlink ref="B102" r:id="rId_hyperlink_291" tooltip="BAV23A Datasheet" display="BAV23A Datasheet"/>
    <hyperlink ref="B103" r:id="rId_hyperlink_292" tooltip="BAV23AQ/CQ/SQ Datasheet" display="BAV23AQ/CQ/SQ Datasheet"/>
    <hyperlink ref="B104" r:id="rId_hyperlink_293" tooltip="BAV23C Datasheet" display="BAV23C Datasheet"/>
    <hyperlink ref="B105" r:id="rId_hyperlink_294" tooltip="BAV23AQ/CQ/SQ Datasheet" display="BAV23AQ/CQ/SQ Datasheet"/>
    <hyperlink ref="B106" r:id="rId_hyperlink_295" tooltip="BAV23S Datasheet" display="BAV23S Datasheet"/>
    <hyperlink ref="B107" r:id="rId_hyperlink_296" tooltip="BAV23AQ/CQ/SQ Datasheet" display="BAV23AQ/CQ/SQ Datasheet"/>
    <hyperlink ref="B108" r:id="rId_hyperlink_297" tooltip="BAV70 Datasheet" display="BAV70 Datasheet"/>
    <hyperlink ref="B109" r:id="rId_hyperlink_298" tooltip="BAV70(LS) Datasheet" display="BAV70(LS) Datasheet"/>
    <hyperlink ref="B110" r:id="rId_hyperlink_299" tooltip="BAV70DV Datasheet" display="BAV70DV Datasheet"/>
    <hyperlink ref="B111" r:id="rId_hyperlink_300" tooltip="BAV70DW Datasheet" display="BAV70DW Datasheet"/>
    <hyperlink ref="B112" r:id="rId_hyperlink_301" tooltip="BAV70HDW Datasheet" display="BAV70HDW Datasheet"/>
    <hyperlink ref="B113" r:id="rId_hyperlink_302" tooltip="BAV70HDWQ Datasheet" display="BAV70HDWQ Datasheet"/>
    <hyperlink ref="B114" r:id="rId_hyperlink_303" tooltip="BAV70LP Datasheet" display="BAV70LP Datasheet"/>
    <hyperlink ref="B115" r:id="rId_hyperlink_304" tooltip="BAV70T Datasheet" display="BAV70T Datasheet"/>
    <hyperlink ref="B116" r:id="rId_hyperlink_305" tooltip="BAV70W Datasheet" display="BAV70W Datasheet"/>
    <hyperlink ref="B117" r:id="rId_hyperlink_306" tooltip="BAV70W(LS) Datasheet" display="BAV70W(LS) Datasheet"/>
    <hyperlink ref="B118" r:id="rId_hyperlink_307" tooltip="BAV756DW Datasheet" display="BAV756DW Datasheet"/>
    <hyperlink ref="B119" r:id="rId_hyperlink_308" tooltip="BAV99 Datasheet" display="BAV99 Datasheet"/>
    <hyperlink ref="B120" r:id="rId_hyperlink_309" tooltip="BAV99(LS) Datasheet" display="BAV99(LS) Datasheet"/>
    <hyperlink ref="B121" r:id="rId_hyperlink_310" tooltip="BAV99BRV Datasheet" display="BAV99BRV Datasheet"/>
    <hyperlink ref="B122" r:id="rId_hyperlink_311" tooltip="BAV99BRVA Datasheet" display="BAV99BRVA Datasheet"/>
    <hyperlink ref="B123" r:id="rId_hyperlink_312" tooltip="BAV99BRW Datasheet" display="BAV99BRW Datasheet"/>
    <hyperlink ref="B124" r:id="rId_hyperlink_313" tooltip="BAV99DW Datasheet" display="BAV99DW Datasheet"/>
    <hyperlink ref="B125" r:id="rId_hyperlink_314" tooltip="BAV99DWQ Datasheet" display="BAV99DWQ Datasheet"/>
    <hyperlink ref="B126" r:id="rId_hyperlink_315" tooltip="BAV99HDW Datasheet" display="BAV99HDW Datasheet"/>
    <hyperlink ref="B127" r:id="rId_hyperlink_316" tooltip="BAV99HDWQ Datasheet" display="BAV99HDWQ Datasheet"/>
    <hyperlink ref="B128" r:id="rId_hyperlink_317" tooltip="BAV99Q Datasheet" display="BAV99Q Datasheet"/>
    <hyperlink ref="B129" r:id="rId_hyperlink_318" tooltip="BAV99T Datasheet" display="BAV99T Datasheet"/>
    <hyperlink ref="B130" r:id="rId_hyperlink_319" tooltip="BAV99W Datasheet" display="BAV99W Datasheet"/>
    <hyperlink ref="B131" r:id="rId_hyperlink_320" tooltip="BAV99W(LS) Datasheet" display="BAV99W(LS) Datasheet"/>
    <hyperlink ref="B132" r:id="rId_hyperlink_321" tooltip="BAW101 Datasheet" display="BAW101 Datasheet"/>
    <hyperlink ref="B133" r:id="rId_hyperlink_322" tooltip="BAW101Q Datasheet" display="BAW101Q Datasheet"/>
    <hyperlink ref="B134" r:id="rId_hyperlink_323" tooltip="BAW101S Datasheet" display="BAW101S Datasheet"/>
    <hyperlink ref="B135" r:id="rId_hyperlink_324" tooltip="BAW156 Datasheet" display="BAW156 Datasheet"/>
    <hyperlink ref="B136" r:id="rId_hyperlink_325" tooltip="BAW156T Datasheet" display="BAW156T Datasheet"/>
    <hyperlink ref="B137" r:id="rId_hyperlink_326" tooltip="BAW156TQ Datasheet" display="BAW156TQ Datasheet"/>
    <hyperlink ref="B138" r:id="rId_hyperlink_327" tooltip="BAW56 Datasheet" display="BAW56 Datasheet"/>
    <hyperlink ref="B139" r:id="rId_hyperlink_328" tooltip="BAW56(LS) Datasheet" display="BAW56(LS) Datasheet"/>
    <hyperlink ref="B140" r:id="rId_hyperlink_329" tooltip="BAW567DW Datasheet" display="BAW567DW Datasheet"/>
    <hyperlink ref="B141" r:id="rId_hyperlink_330" tooltip="BAW56DW Datasheet" display="BAW56DW Datasheet"/>
    <hyperlink ref="B142" r:id="rId_hyperlink_331" tooltip="BAW56HDW Datasheet" display="BAW56HDW Datasheet"/>
    <hyperlink ref="B143" r:id="rId_hyperlink_332" tooltip="BAW56HDWQ Datasheet" display="BAW56HDWQ Datasheet"/>
    <hyperlink ref="B144" r:id="rId_hyperlink_333" tooltip="BAW56T Datasheet" display="BAW56T Datasheet"/>
    <hyperlink ref="B145" r:id="rId_hyperlink_334" tooltip="BAW56W Datasheet" display="BAW56W Datasheet"/>
    <hyperlink ref="B146" r:id="rId_hyperlink_335" tooltip="DHVSD3004AS/CS/SS Datasheet" display="DHVSD3004AS/CS/SS Datasheet"/>
    <hyperlink ref="B147" r:id="rId_hyperlink_336" tooltip="DHVSD3004ASQ/CSQ/SSQ Datasheet" display="DHVSD3004ASQ/CSQ/SSQ Datasheet"/>
    <hyperlink ref="B148" r:id="rId_hyperlink_337" tooltip="DHVSD3004AS/CS/SS Datasheet" display="DHVSD3004AS/CS/SS Datasheet"/>
    <hyperlink ref="B149" r:id="rId_hyperlink_338" tooltip="DHVSD3004ASQ/CSQ/SSQ Datasheet" display="DHVSD3004ASQ/CSQ/SSQ Datasheet"/>
    <hyperlink ref="B150" r:id="rId_hyperlink_339" tooltip="DHVSD3004S1 Datasheet" display="DHVSD3004S1 Datasheet"/>
    <hyperlink ref="B151" r:id="rId_hyperlink_340" tooltip="DHVSD3004S1Q Datasheet" display="DHVSD3004S1Q Datasheet"/>
    <hyperlink ref="B152" r:id="rId_hyperlink_341" tooltip="DHVSD3004AS/CS/SS Datasheet" display="DHVSD3004AS/CS/SS Datasheet"/>
    <hyperlink ref="B153" r:id="rId_hyperlink_342" tooltip="DHVSD3004ASQ/CSQ/SSQ Datasheet" display="DHVSD3004ASQ/CSQ/SSQ Datasheet"/>
    <hyperlink ref="B154" r:id="rId_hyperlink_343" tooltip="DHVSD521LP Datasheet" display="DHVSD521LP Datasheet"/>
    <hyperlink ref="B155" r:id="rId_hyperlink_344" tooltip="DHVSD521T5 Datasheet" display="DHVSD521T5 Datasheet"/>
    <hyperlink ref="B156" r:id="rId_hyperlink_345" tooltip="DLLFSD01LP3 Datasheet" display="DLLFSD01LP3 Datasheet"/>
    <hyperlink ref="B157" r:id="rId_hyperlink_346" tooltip="DLLFSD01LP3Q Datasheet" display="DLLFSD01LP3Q Datasheet"/>
    <hyperlink ref="B158" r:id="rId_hyperlink_347" tooltip="DLLFSD01LPH4 Datasheet" display="DLLFSD01LPH4 Datasheet"/>
    <hyperlink ref="B159" r:id="rId_hyperlink_348" tooltip="DLLFSD01T Datasheet" display="DLLFSD01T Datasheet"/>
    <hyperlink ref="B160" r:id="rId_hyperlink_349" tooltip="DLPA004 Datasheet" display="DLPA004 Datasheet"/>
    <hyperlink ref="B161" r:id="rId_hyperlink_350" tooltip="LL4148(LS) Datasheet" display="LL4148(LS) Datasheet"/>
    <hyperlink ref="B162" r:id="rId_hyperlink_351" tooltip="MMBD2004S Datasheet" display="MMBD2004S Datasheet"/>
    <hyperlink ref="B163" r:id="rId_hyperlink_352" tooltip="MMBD2004SQ Datasheet" display="MMBD2004SQ Datasheet"/>
    <hyperlink ref="B164" r:id="rId_hyperlink_353" tooltip="MMBD2004SW Datasheet" display="MMBD2004SW Datasheet"/>
    <hyperlink ref="B165" r:id="rId_hyperlink_354" tooltip="MMBD4148 Datasheet" display="MMBD4148 Datasheet"/>
    <hyperlink ref="B166" r:id="rId_hyperlink_355" tooltip="MMBD4148PLM Datasheet" display="MMBD4148PLM Datasheet"/>
    <hyperlink ref="B167" r:id="rId_hyperlink_356" tooltip="MMBD4148TW Datasheet" display="MMBD4148TW Datasheet"/>
    <hyperlink ref="B168" r:id="rId_hyperlink_357" tooltip="MMBD4148W Datasheet" display="MMBD4148W Datasheet"/>
    <hyperlink ref="B169" r:id="rId_hyperlink_358" tooltip="MMBD4448 Datasheet" display="MMBD4448 Datasheet"/>
    <hyperlink ref="B170" r:id="rId_hyperlink_359" tooltip="MMBD4448DW Datasheet" display="MMBD4448DW Datasheet"/>
    <hyperlink ref="B171" r:id="rId_hyperlink_360" tooltip="MMBD4448H Datasheet" display="MMBD4448H Datasheet"/>
    <hyperlink ref="B172" r:id="rId_hyperlink_361" tooltip="MMBD4448HADW Datasheet" display="MMBD4448HADW Datasheet"/>
    <hyperlink ref="B173" r:id="rId_hyperlink_362" tooltip="MMBD4448HAQW Datasheet" display="MMBD4448HAQW Datasheet"/>
    <hyperlink ref="B174" r:id="rId_hyperlink_363" tooltip="MMBD4448HCDW Datasheet" display="MMBD4448HCDW Datasheet"/>
    <hyperlink ref="B175" r:id="rId_hyperlink_364" tooltip="MMBD4448HCQW Datasheet" display="MMBD4448HCQW Datasheet"/>
    <hyperlink ref="B176" r:id="rId_hyperlink_365" tooltip="MMBD4448HSDW Datasheet" display="MMBD4448HSDW Datasheet"/>
    <hyperlink ref="B177" r:id="rId_hyperlink_366" tooltip="MMBD4448HT Datasheet" display="MMBD4448HT Datasheet"/>
    <hyperlink ref="B178" r:id="rId_hyperlink_367" tooltip="MMBD4448HTA Datasheet" display="MMBD4448HTA Datasheet"/>
    <hyperlink ref="B179" r:id="rId_hyperlink_368" tooltip="MMBD4448HTC Datasheet" display="MMBD4448HTC Datasheet"/>
    <hyperlink ref="B180" r:id="rId_hyperlink_369" tooltip="MMBD4448HTM Datasheet" display="MMBD4448HTM Datasheet"/>
    <hyperlink ref="B181" r:id="rId_hyperlink_370" tooltip="MMBD4448HTS Datasheet" display="MMBD4448HTS Datasheet"/>
    <hyperlink ref="B182" r:id="rId_hyperlink_371" tooltip="MMBD4448HTW Datasheet" display="MMBD4448HTW Datasheet"/>
    <hyperlink ref="B183" r:id="rId_hyperlink_372" tooltip="MMBD4448HW Datasheet" display="MMBD4448HW Datasheet"/>
    <hyperlink ref="B184" r:id="rId_hyperlink_373" tooltip="MMBD4448V Datasheet" display="MMBD4448V Datasheet"/>
    <hyperlink ref="B185" r:id="rId_hyperlink_374" tooltip="MMBD4448W Datasheet" display="MMBD4448W Datasheet"/>
    <hyperlink ref="B186" r:id="rId_hyperlink_375" tooltip="MMBD7000 Datasheet" display="MMBD7000 Datasheet"/>
    <hyperlink ref="B187" r:id="rId_hyperlink_376" tooltip="MMBD7000HC Datasheet" display="MMBD7000HC Datasheet"/>
    <hyperlink ref="B188" r:id="rId_hyperlink_377" tooltip="MMBD7000HS Datasheet" display="MMBD7000HS Datasheet"/>
    <hyperlink ref="B189" r:id="rId_hyperlink_378" tooltip="MMBD914 Datasheet" display="MMBD914 Datasheet"/>
    <hyperlink ref="B190" r:id="rId_hyperlink_379" tooltip="SDA004 Datasheet" display="SDA004 Datasheet"/>
    <hyperlink ref="B191" r:id="rId_hyperlink_380" tooltip="SDA006 Datasheet" display="SDA006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2024-03-28T01:21:13-05:00</dcterms:created>
  <dcterms:modified xsi:type="dcterms:W3CDTF">2024-03-28T01:21:13-05:00</dcterms:modified>
  <dc:title>Untitled Spreadsheet</dc:title>
  <dc:description/>
  <dc:subject/>
  <cp:keywords/>
  <cp:category/>
</cp:coreProperties>
</file>