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65" windowWidth="5760" windowHeight="7890"/>
  </bookViews>
  <sheets>
    <sheet name="Power Loss" sheetId="1" r:id="rId1"/>
    <sheet name="Efficiency Summary" sheetId="2" r:id="rId2"/>
  </sheets>
  <externalReferences>
    <externalReference r:id="rId3"/>
  </externalReferences>
  <definedNames>
    <definedName name="_Cap1">#REF!</definedName>
    <definedName name="_cap2">#REF!</definedName>
    <definedName name="_Cfb1">#REF!</definedName>
    <definedName name="_Cfb2">#REF!</definedName>
    <definedName name="_res1">#REF!</definedName>
    <definedName name="_Rfb1">#REF!</definedName>
    <definedName name="_Rfb2">#REF!</definedName>
    <definedName name="Cap">'Power Loss'!$B$32</definedName>
    <definedName name="D">'Power Loss'!$F$19</definedName>
    <definedName name="DCR">'Power Loss'!$B$28</definedName>
    <definedName name="Dmax">#REF!</definedName>
    <definedName name="EA_BW">#REF!</definedName>
    <definedName name="EA_DC">#REF!</definedName>
    <definedName name="Efficiency">'Power Loss'!$B$137</definedName>
    <definedName name="ESR">'Power Loss'!$B$33</definedName>
    <definedName name="F0">#REF!</definedName>
    <definedName name="Fc">#REF!</definedName>
    <definedName name="Fm">#REF!</definedName>
    <definedName name="Fs">'Power Loss'!$B$18</definedName>
    <definedName name="Fstart">#REF!</definedName>
    <definedName name="Fstep">#REF!</definedName>
    <definedName name="Fstop">#REF!</definedName>
    <definedName name="Gdo">#REF!</definedName>
    <definedName name="Iin">'Power Loss'!$F$27</definedName>
    <definedName name="Il_rms">'Power Loss'!$F$23</definedName>
    <definedName name="Imax">'Efficiency Summary'!$B$10</definedName>
    <definedName name="Imin">'Efficiency Summary'!$B$9</definedName>
    <definedName name="Iout">'Power Loss'!$B$21</definedName>
    <definedName name="Irip">'Power Loss'!$F$26</definedName>
    <definedName name="Iu_rms">'Power Loss'!$F$22</definedName>
    <definedName name="LIR">'Power Loss'!$B$24</definedName>
    <definedName name="Lout">'Power Loss'!$B$27</definedName>
    <definedName name="ncap">'Power Loss'!$B$31</definedName>
    <definedName name="Q">#REF!</definedName>
    <definedName name="Qn">#REF!</definedName>
    <definedName name="Roerr">#REF!</definedName>
    <definedName name="Ron_l">'Power Loss'!$B$103</definedName>
    <definedName name="Ron_u">'Power Loss'!$B$85</definedName>
    <definedName name="Rout">'[1]Power Loss'!$F$20</definedName>
    <definedName name="RT">#REF!</definedName>
    <definedName name="Se">#REF!</definedName>
    <definedName name="Sn">#REF!</definedName>
    <definedName name="Step">#REF!</definedName>
    <definedName name="Tloss">'Power Loss'!$B$136</definedName>
    <definedName name="VFB">#REF!</definedName>
    <definedName name="Vin">'Power Loss'!$B$19</definedName>
    <definedName name="Vout">'Power Loss'!$B$20</definedName>
    <definedName name="wn">#REF!</definedName>
    <definedName name="wn_boost">#REF!</definedName>
  </definedNames>
  <calcPr calcId="145621"/>
</workbook>
</file>

<file path=xl/calcChain.xml><?xml version="1.0" encoding="utf-8"?>
<calcChain xmlns="http://schemas.openxmlformats.org/spreadsheetml/2006/main">
  <c r="B29" i="1" l="1"/>
  <c r="E23" i="1" l="1"/>
  <c r="F44" i="1" l="1"/>
  <c r="F19" i="1" l="1"/>
  <c r="B26" i="1" s="1"/>
  <c r="B29" i="2"/>
  <c r="I11" i="2" l="1"/>
  <c r="E22" i="1"/>
  <c r="B51" i="1"/>
  <c r="O111" i="2" l="1"/>
  <c r="N111" i="2"/>
  <c r="J111" i="2"/>
  <c r="H111" i="2"/>
  <c r="G111" i="2"/>
  <c r="O110" i="2"/>
  <c r="N110" i="2"/>
  <c r="J110" i="2"/>
  <c r="H110" i="2"/>
  <c r="G110" i="2"/>
  <c r="O109" i="2"/>
  <c r="N109" i="2"/>
  <c r="J109" i="2"/>
  <c r="H109" i="2"/>
  <c r="G109" i="2"/>
  <c r="O108" i="2"/>
  <c r="N108" i="2"/>
  <c r="J108" i="2"/>
  <c r="H108" i="2"/>
  <c r="G108" i="2"/>
  <c r="O107" i="2"/>
  <c r="N107" i="2"/>
  <c r="J107" i="2"/>
  <c r="H107" i="2"/>
  <c r="G107" i="2"/>
  <c r="O106" i="2"/>
  <c r="N106" i="2"/>
  <c r="J106" i="2"/>
  <c r="H106" i="2"/>
  <c r="G106" i="2"/>
  <c r="O105" i="2"/>
  <c r="N105" i="2"/>
  <c r="J105" i="2"/>
  <c r="H105" i="2"/>
  <c r="G105" i="2"/>
  <c r="O104" i="2"/>
  <c r="N104" i="2"/>
  <c r="J104" i="2"/>
  <c r="H104" i="2"/>
  <c r="G104" i="2"/>
  <c r="O103" i="2"/>
  <c r="N103" i="2"/>
  <c r="J103" i="2"/>
  <c r="H103" i="2"/>
  <c r="G103" i="2"/>
  <c r="O102" i="2"/>
  <c r="N102" i="2"/>
  <c r="J102" i="2"/>
  <c r="H102" i="2"/>
  <c r="G102" i="2"/>
  <c r="O101" i="2"/>
  <c r="N101" i="2"/>
  <c r="J101" i="2"/>
  <c r="H101" i="2"/>
  <c r="G101" i="2"/>
  <c r="O100" i="2"/>
  <c r="N100" i="2"/>
  <c r="J100" i="2"/>
  <c r="H100" i="2"/>
  <c r="G100" i="2"/>
  <c r="O99" i="2"/>
  <c r="N99" i="2"/>
  <c r="J99" i="2"/>
  <c r="H99" i="2"/>
  <c r="G99" i="2"/>
  <c r="O98" i="2"/>
  <c r="N98" i="2"/>
  <c r="J98" i="2"/>
  <c r="H98" i="2"/>
  <c r="G98" i="2"/>
  <c r="O97" i="2"/>
  <c r="N97" i="2"/>
  <c r="J97" i="2"/>
  <c r="H97" i="2"/>
  <c r="G97" i="2"/>
  <c r="O96" i="2"/>
  <c r="N96" i="2"/>
  <c r="J96" i="2"/>
  <c r="H96" i="2"/>
  <c r="G96" i="2"/>
  <c r="O95" i="2"/>
  <c r="N95" i="2"/>
  <c r="J95" i="2"/>
  <c r="H95" i="2"/>
  <c r="G95" i="2"/>
  <c r="O94" i="2"/>
  <c r="N94" i="2"/>
  <c r="J94" i="2"/>
  <c r="H94" i="2"/>
  <c r="G94" i="2"/>
  <c r="O93" i="2"/>
  <c r="N93" i="2"/>
  <c r="J93" i="2"/>
  <c r="H93" i="2"/>
  <c r="G93" i="2"/>
  <c r="O92" i="2"/>
  <c r="N92" i="2"/>
  <c r="J92" i="2"/>
  <c r="H92" i="2"/>
  <c r="G92" i="2"/>
  <c r="O91" i="2"/>
  <c r="N91" i="2"/>
  <c r="J91" i="2"/>
  <c r="H91" i="2"/>
  <c r="G91" i="2"/>
  <c r="O90" i="2"/>
  <c r="N90" i="2"/>
  <c r="J90" i="2"/>
  <c r="H90" i="2"/>
  <c r="G90" i="2"/>
  <c r="O89" i="2"/>
  <c r="N89" i="2"/>
  <c r="J89" i="2"/>
  <c r="H89" i="2"/>
  <c r="G89" i="2"/>
  <c r="O88" i="2"/>
  <c r="N88" i="2"/>
  <c r="J88" i="2"/>
  <c r="H88" i="2"/>
  <c r="G88" i="2"/>
  <c r="O87" i="2"/>
  <c r="N87" i="2"/>
  <c r="J87" i="2"/>
  <c r="H87" i="2"/>
  <c r="G87" i="2"/>
  <c r="O86" i="2"/>
  <c r="N86" i="2"/>
  <c r="J86" i="2"/>
  <c r="H86" i="2"/>
  <c r="G86" i="2"/>
  <c r="O85" i="2"/>
  <c r="N85" i="2"/>
  <c r="J85" i="2"/>
  <c r="H85" i="2"/>
  <c r="G85" i="2"/>
  <c r="O84" i="2"/>
  <c r="N84" i="2"/>
  <c r="J84" i="2"/>
  <c r="H84" i="2"/>
  <c r="G84" i="2"/>
  <c r="O83" i="2"/>
  <c r="N83" i="2"/>
  <c r="J83" i="2"/>
  <c r="H83" i="2"/>
  <c r="G83" i="2"/>
  <c r="O82" i="2"/>
  <c r="N82" i="2"/>
  <c r="J82" i="2"/>
  <c r="H82" i="2"/>
  <c r="G82" i="2"/>
  <c r="O81" i="2"/>
  <c r="N81" i="2"/>
  <c r="J81" i="2"/>
  <c r="H81" i="2"/>
  <c r="G81" i="2"/>
  <c r="O80" i="2"/>
  <c r="N80" i="2"/>
  <c r="J80" i="2"/>
  <c r="H80" i="2"/>
  <c r="G80" i="2"/>
  <c r="O79" i="2"/>
  <c r="N79" i="2"/>
  <c r="J79" i="2"/>
  <c r="H79" i="2"/>
  <c r="G79" i="2"/>
  <c r="O78" i="2"/>
  <c r="N78" i="2"/>
  <c r="J78" i="2"/>
  <c r="H78" i="2"/>
  <c r="G78" i="2"/>
  <c r="O77" i="2"/>
  <c r="N77" i="2"/>
  <c r="J77" i="2"/>
  <c r="H77" i="2"/>
  <c r="G77" i="2"/>
  <c r="O76" i="2"/>
  <c r="N76" i="2"/>
  <c r="J76" i="2"/>
  <c r="H76" i="2"/>
  <c r="G76" i="2"/>
  <c r="O75" i="2"/>
  <c r="N75" i="2"/>
  <c r="J75" i="2"/>
  <c r="H75" i="2"/>
  <c r="G75" i="2"/>
  <c r="O74" i="2"/>
  <c r="N74" i="2"/>
  <c r="J74" i="2"/>
  <c r="H74" i="2"/>
  <c r="G74" i="2"/>
  <c r="O73" i="2"/>
  <c r="N73" i="2"/>
  <c r="J73" i="2"/>
  <c r="H73" i="2"/>
  <c r="G73" i="2"/>
  <c r="O72" i="2"/>
  <c r="N72" i="2"/>
  <c r="J72" i="2"/>
  <c r="H72" i="2"/>
  <c r="G72" i="2"/>
  <c r="O71" i="2"/>
  <c r="N71" i="2"/>
  <c r="J71" i="2"/>
  <c r="H71" i="2"/>
  <c r="G71" i="2"/>
  <c r="O70" i="2"/>
  <c r="N70" i="2"/>
  <c r="J70" i="2"/>
  <c r="H70" i="2"/>
  <c r="G70" i="2"/>
  <c r="O69" i="2"/>
  <c r="N69" i="2"/>
  <c r="J69" i="2"/>
  <c r="H69" i="2"/>
  <c r="G69" i="2"/>
  <c r="N68" i="2"/>
  <c r="J68" i="2"/>
  <c r="G68" i="2"/>
  <c r="B59" i="2"/>
  <c r="B55" i="2"/>
  <c r="B52" i="2"/>
  <c r="B10" i="2" l="1"/>
  <c r="D111" i="2"/>
  <c r="C111" i="2"/>
  <c r="B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A70" i="2"/>
  <c r="B70" i="2" s="1"/>
  <c r="D69" i="2"/>
  <c r="C69" i="2"/>
  <c r="B69" i="2"/>
  <c r="A69" i="2"/>
  <c r="O68" i="2"/>
  <c r="D68" i="2"/>
  <c r="C68" i="2"/>
  <c r="B68" i="2"/>
  <c r="B61" i="2"/>
  <c r="B60" i="2"/>
  <c r="B53" i="2"/>
  <c r="B49" i="2"/>
  <c r="B48" i="2"/>
  <c r="B45" i="2"/>
  <c r="B51" i="2" s="1"/>
  <c r="A13" i="2"/>
  <c r="B120" i="1"/>
  <c r="B119" i="1"/>
  <c r="B114" i="1"/>
  <c r="B103" i="1"/>
  <c r="B106" i="1" s="1"/>
  <c r="B98" i="1"/>
  <c r="B85" i="1"/>
  <c r="B80" i="1"/>
  <c r="B69" i="1"/>
  <c r="B64" i="1"/>
  <c r="B52" i="1"/>
  <c r="F20" i="1"/>
  <c r="L110" i="2" l="1"/>
  <c r="L108" i="2"/>
  <c r="L100" i="2"/>
  <c r="L90" i="2"/>
  <c r="L84" i="2"/>
  <c r="L78" i="2"/>
  <c r="L70" i="2"/>
  <c r="L109" i="2"/>
  <c r="L105" i="2"/>
  <c r="L101" i="2"/>
  <c r="L97" i="2"/>
  <c r="L93" i="2"/>
  <c r="L87" i="2"/>
  <c r="L83" i="2"/>
  <c r="L79" i="2"/>
  <c r="L75" i="2"/>
  <c r="L71" i="2"/>
  <c r="L68" i="2"/>
  <c r="B57" i="2"/>
  <c r="L106" i="2"/>
  <c r="L104" i="2"/>
  <c r="L102" i="2"/>
  <c r="L98" i="2"/>
  <c r="L96" i="2"/>
  <c r="L94" i="2"/>
  <c r="L92" i="2"/>
  <c r="L88" i="2"/>
  <c r="L86" i="2"/>
  <c r="L82" i="2"/>
  <c r="L80" i="2"/>
  <c r="L76" i="2"/>
  <c r="L74" i="2"/>
  <c r="L72" i="2"/>
  <c r="L111" i="2"/>
  <c r="L107" i="2"/>
  <c r="L103" i="2"/>
  <c r="L99" i="2"/>
  <c r="L95" i="2"/>
  <c r="L91" i="2"/>
  <c r="L89" i="2"/>
  <c r="L85" i="2"/>
  <c r="L81" i="2"/>
  <c r="L77" i="2"/>
  <c r="L73" i="2"/>
  <c r="L69" i="2"/>
  <c r="I111" i="2"/>
  <c r="I107" i="2"/>
  <c r="I103" i="2"/>
  <c r="I99" i="2"/>
  <c r="I95" i="2"/>
  <c r="I91" i="2"/>
  <c r="I87" i="2"/>
  <c r="I83" i="2"/>
  <c r="I79" i="2"/>
  <c r="I75" i="2"/>
  <c r="I71" i="2"/>
  <c r="I68" i="2"/>
  <c r="I97" i="2"/>
  <c r="I93" i="2"/>
  <c r="I89" i="2"/>
  <c r="I81" i="2"/>
  <c r="I73" i="2"/>
  <c r="I110" i="2"/>
  <c r="I102" i="2"/>
  <c r="I82" i="2"/>
  <c r="I70" i="2"/>
  <c r="I108" i="2"/>
  <c r="I104" i="2"/>
  <c r="I100" i="2"/>
  <c r="I96" i="2"/>
  <c r="I92" i="2"/>
  <c r="I88" i="2"/>
  <c r="I84" i="2"/>
  <c r="I80" i="2"/>
  <c r="I76" i="2"/>
  <c r="I72" i="2"/>
  <c r="B54" i="2"/>
  <c r="I109" i="2"/>
  <c r="I105" i="2"/>
  <c r="I101" i="2"/>
  <c r="I85" i="2"/>
  <c r="I77" i="2"/>
  <c r="I69" i="2"/>
  <c r="I106" i="2"/>
  <c r="I98" i="2"/>
  <c r="I94" i="2"/>
  <c r="I90" i="2"/>
  <c r="I86" i="2"/>
  <c r="I78" i="2"/>
  <c r="I74" i="2"/>
  <c r="B72" i="1"/>
  <c r="B123" i="1" s="1"/>
  <c r="B74" i="1"/>
  <c r="B73" i="1"/>
  <c r="B56" i="1"/>
  <c r="B57" i="1"/>
  <c r="B65" i="1" s="1"/>
  <c r="B55" i="1"/>
  <c r="B122" i="1" s="1"/>
  <c r="E73" i="2"/>
  <c r="E77" i="2"/>
  <c r="E97" i="2"/>
  <c r="E84" i="2"/>
  <c r="B90" i="1"/>
  <c r="B99" i="1" s="1"/>
  <c r="E88" i="2"/>
  <c r="E96" i="2"/>
  <c r="E104" i="2"/>
  <c r="B50" i="2"/>
  <c r="E100" i="2"/>
  <c r="E108" i="2"/>
  <c r="B89" i="1"/>
  <c r="K108" i="2" s="1"/>
  <c r="B81" i="1"/>
  <c r="B88" i="1"/>
  <c r="B124" i="1" s="1"/>
  <c r="B125" i="1"/>
  <c r="B108" i="1"/>
  <c r="B115" i="1" s="1"/>
  <c r="B107" i="1"/>
  <c r="M103" i="2" s="1"/>
  <c r="E68" i="2"/>
  <c r="E78" i="2"/>
  <c r="E82" i="2"/>
  <c r="E90" i="2"/>
  <c r="E94" i="2"/>
  <c r="E98" i="2"/>
  <c r="E102" i="2"/>
  <c r="E110" i="2"/>
  <c r="E111" i="2"/>
  <c r="E83" i="2"/>
  <c r="E87" i="2"/>
  <c r="E91" i="2"/>
  <c r="E95" i="2"/>
  <c r="E103" i="2"/>
  <c r="E80" i="2"/>
  <c r="E92" i="2"/>
  <c r="E101" i="2"/>
  <c r="E69" i="2"/>
  <c r="E79" i="2"/>
  <c r="E93" i="2"/>
  <c r="E85" i="2"/>
  <c r="E107" i="2"/>
  <c r="E109" i="2"/>
  <c r="E70" i="2"/>
  <c r="E71" i="2"/>
  <c r="E72" i="2"/>
  <c r="E75" i="2"/>
  <c r="E76" i="2"/>
  <c r="E81" i="2"/>
  <c r="E86" i="2"/>
  <c r="E99" i="2"/>
  <c r="E106" i="2"/>
  <c r="A22" i="2"/>
  <c r="A20" i="2"/>
  <c r="A23" i="2"/>
  <c r="A21" i="2"/>
  <c r="A19" i="2"/>
  <c r="A17" i="2"/>
  <c r="A15" i="2"/>
  <c r="P69" i="2"/>
  <c r="P111" i="2"/>
  <c r="F111" i="2"/>
  <c r="I10" i="2"/>
  <c r="A14" i="2"/>
  <c r="A16" i="2"/>
  <c r="A18" i="2"/>
  <c r="P70" i="2"/>
  <c r="F70" i="2"/>
  <c r="A29" i="2"/>
  <c r="F69" i="2"/>
  <c r="A71" i="2"/>
  <c r="H68" i="2"/>
  <c r="P68" i="2"/>
  <c r="E89" i="2"/>
  <c r="F68" i="2"/>
  <c r="E74" i="2"/>
  <c r="E105" i="2"/>
  <c r="K73" i="2" l="1"/>
  <c r="K97" i="2"/>
  <c r="K105" i="2"/>
  <c r="F18" i="1"/>
  <c r="M72" i="2"/>
  <c r="M104" i="2"/>
  <c r="M89" i="2"/>
  <c r="M74" i="2"/>
  <c r="M106" i="2"/>
  <c r="M79" i="2"/>
  <c r="M76" i="2"/>
  <c r="M108" i="2"/>
  <c r="M93" i="2"/>
  <c r="M78" i="2"/>
  <c r="M110" i="2"/>
  <c r="M87" i="2"/>
  <c r="M107" i="2"/>
  <c r="M88" i="2"/>
  <c r="M73" i="2"/>
  <c r="M105" i="2"/>
  <c r="M90" i="2"/>
  <c r="M111" i="2"/>
  <c r="M92" i="2"/>
  <c r="M77" i="2"/>
  <c r="M109" i="2"/>
  <c r="M94" i="2"/>
  <c r="M75" i="2"/>
  <c r="M99" i="2"/>
  <c r="K89" i="2"/>
  <c r="K81" i="2"/>
  <c r="F26" i="1"/>
  <c r="F28" i="1" s="1"/>
  <c r="M84" i="2"/>
  <c r="M100" i="2"/>
  <c r="M69" i="2"/>
  <c r="M85" i="2"/>
  <c r="M101" i="2"/>
  <c r="M70" i="2"/>
  <c r="M86" i="2"/>
  <c r="M102" i="2"/>
  <c r="M83" i="2"/>
  <c r="M95" i="2"/>
  <c r="M80" i="2"/>
  <c r="M96" i="2"/>
  <c r="M68" i="2"/>
  <c r="M81" i="2"/>
  <c r="M97" i="2"/>
  <c r="B58" i="2"/>
  <c r="M82" i="2"/>
  <c r="M98" i="2"/>
  <c r="M71" i="2"/>
  <c r="M91" i="2"/>
  <c r="K74" i="2"/>
  <c r="K82" i="2"/>
  <c r="K90" i="2"/>
  <c r="K98" i="2"/>
  <c r="K106" i="2"/>
  <c r="K71" i="2"/>
  <c r="K79" i="2"/>
  <c r="K87" i="2"/>
  <c r="K95" i="2"/>
  <c r="K103" i="2"/>
  <c r="K111" i="2"/>
  <c r="K72" i="2"/>
  <c r="K80" i="2"/>
  <c r="K88" i="2"/>
  <c r="K96" i="2"/>
  <c r="K104" i="2"/>
  <c r="K68" i="2"/>
  <c r="K110" i="2"/>
  <c r="B56" i="2"/>
  <c r="K69" i="2"/>
  <c r="K77" i="2"/>
  <c r="K85" i="2"/>
  <c r="K93" i="2"/>
  <c r="K101" i="2"/>
  <c r="K109" i="2"/>
  <c r="K70" i="2"/>
  <c r="K78" i="2"/>
  <c r="K86" i="2"/>
  <c r="K94" i="2"/>
  <c r="K102" i="2"/>
  <c r="K75" i="2"/>
  <c r="K83" i="2"/>
  <c r="K91" i="2"/>
  <c r="K99" i="2"/>
  <c r="K107" i="2"/>
  <c r="K76" i="2"/>
  <c r="K84" i="2"/>
  <c r="K92" i="2"/>
  <c r="K100" i="2"/>
  <c r="F27" i="1"/>
  <c r="H23" i="2"/>
  <c r="H21" i="2"/>
  <c r="H19" i="2"/>
  <c r="H17" i="2"/>
  <c r="H15" i="2"/>
  <c r="H13" i="2"/>
  <c r="H22" i="2"/>
  <c r="H20" i="2"/>
  <c r="H18" i="2"/>
  <c r="H16" i="2"/>
  <c r="H14" i="2"/>
  <c r="B126" i="1"/>
  <c r="L32" i="1" s="1"/>
  <c r="A72" i="2"/>
  <c r="B71" i="2"/>
  <c r="A32" i="2"/>
  <c r="B32" i="2" s="1"/>
  <c r="A37" i="2"/>
  <c r="B37" i="2" s="1"/>
  <c r="A30" i="2"/>
  <c r="B30" i="2" s="1"/>
  <c r="A31" i="2"/>
  <c r="B31" i="2" s="1"/>
  <c r="A39" i="2"/>
  <c r="B39" i="2" s="1"/>
  <c r="A33" i="2"/>
  <c r="B33" i="2" s="1"/>
  <c r="A36" i="2"/>
  <c r="B36" i="2" s="1"/>
  <c r="A34" i="2"/>
  <c r="B34" i="2" s="1"/>
  <c r="A35" i="2"/>
  <c r="B35" i="2" s="1"/>
  <c r="A38" i="2"/>
  <c r="B38" i="2" s="1"/>
  <c r="F23" i="1" l="1"/>
  <c r="B134" i="1" s="1"/>
  <c r="K34" i="1" s="1"/>
  <c r="F22" i="1"/>
  <c r="B61" i="1" s="1"/>
  <c r="B129" i="1"/>
  <c r="L33" i="1" s="1"/>
  <c r="B63" i="2"/>
  <c r="B65" i="2" s="1"/>
  <c r="F29" i="1"/>
  <c r="B97" i="1"/>
  <c r="B113" i="1"/>
  <c r="L31" i="1" s="1"/>
  <c r="B96" i="1"/>
  <c r="B63" i="1"/>
  <c r="B79" i="1"/>
  <c r="B130" i="1"/>
  <c r="K33" i="1" s="1"/>
  <c r="B95" i="1"/>
  <c r="B62" i="1"/>
  <c r="C29" i="2"/>
  <c r="P71" i="2"/>
  <c r="F71" i="2"/>
  <c r="A73" i="2"/>
  <c r="B72" i="2"/>
  <c r="B94" i="1" l="1"/>
  <c r="B100" i="1" s="1"/>
  <c r="K30" i="1" s="1"/>
  <c r="B112" i="1"/>
  <c r="K31" i="1" s="1"/>
  <c r="B78" i="1"/>
  <c r="B131" i="1"/>
  <c r="L30" i="1"/>
  <c r="B66" i="1"/>
  <c r="D29" i="2"/>
  <c r="D13" i="2" s="1"/>
  <c r="I13" i="2"/>
  <c r="E29" i="2"/>
  <c r="E13" i="2" s="1"/>
  <c r="P72" i="2"/>
  <c r="F72" i="2"/>
  <c r="C31" i="2"/>
  <c r="C38" i="2"/>
  <c r="A74" i="2"/>
  <c r="B73" i="2"/>
  <c r="C33" i="2"/>
  <c r="C39" i="2"/>
  <c r="C34" i="2"/>
  <c r="C37" i="2"/>
  <c r="C32" i="2"/>
  <c r="C36" i="2"/>
  <c r="C35" i="2"/>
  <c r="C30" i="2"/>
  <c r="B116" i="1" l="1"/>
  <c r="B82" i="1"/>
  <c r="F48" i="1"/>
  <c r="F47" i="1" s="1"/>
  <c r="F13" i="2"/>
  <c r="D34" i="2"/>
  <c r="F18" i="2" s="1"/>
  <c r="I18" i="2"/>
  <c r="I23" i="2"/>
  <c r="I16" i="2"/>
  <c r="E33" i="2"/>
  <c r="E17" i="2" s="1"/>
  <c r="I17" i="2"/>
  <c r="I15" i="2"/>
  <c r="E35" i="2"/>
  <c r="E19" i="2" s="1"/>
  <c r="I19" i="2"/>
  <c r="D36" i="2"/>
  <c r="F20" i="2" s="1"/>
  <c r="I20" i="2"/>
  <c r="I22" i="2"/>
  <c r="I14" i="2"/>
  <c r="D37" i="2"/>
  <c r="F21" i="2" s="1"/>
  <c r="I21" i="2"/>
  <c r="G13" i="2"/>
  <c r="J13" i="2"/>
  <c r="D32" i="2"/>
  <c r="F16" i="2" s="1"/>
  <c r="D33" i="2"/>
  <c r="F17" i="2" s="1"/>
  <c r="E36" i="2"/>
  <c r="E20" i="2" s="1"/>
  <c r="E32" i="2"/>
  <c r="E16" i="2" s="1"/>
  <c r="D35" i="2"/>
  <c r="F19" i="2" s="1"/>
  <c r="D31" i="2"/>
  <c r="F15" i="2" s="1"/>
  <c r="E37" i="2"/>
  <c r="E21" i="2" s="1"/>
  <c r="E31" i="2"/>
  <c r="E15" i="2" s="1"/>
  <c r="F73" i="2"/>
  <c r="P73" i="2"/>
  <c r="A75" i="2"/>
  <c r="B74" i="2"/>
  <c r="E30" i="2"/>
  <c r="E14" i="2" s="1"/>
  <c r="D39" i="2"/>
  <c r="F23" i="2" s="1"/>
  <c r="E38" i="2"/>
  <c r="E22" i="2" s="1"/>
  <c r="D30" i="2"/>
  <c r="F14" i="2" s="1"/>
  <c r="E34" i="2"/>
  <c r="E18" i="2" s="1"/>
  <c r="E39" i="2"/>
  <c r="E23" i="2" s="1"/>
  <c r="D38" i="2"/>
  <c r="F22" i="2" s="1"/>
  <c r="B136" i="1" l="1"/>
  <c r="B137" i="1" s="1"/>
  <c r="B48" i="1" s="1"/>
  <c r="D21" i="2"/>
  <c r="D14" i="2"/>
  <c r="D20" i="2"/>
  <c r="D17" i="2"/>
  <c r="D23" i="2"/>
  <c r="D22" i="2"/>
  <c r="D15" i="2"/>
  <c r="D19" i="2"/>
  <c r="D16" i="2"/>
  <c r="D18" i="2"/>
  <c r="G23" i="2"/>
  <c r="J23" i="2"/>
  <c r="G21" i="2"/>
  <c r="J21" i="2"/>
  <c r="J20" i="2"/>
  <c r="G20" i="2"/>
  <c r="G17" i="2"/>
  <c r="J17" i="2"/>
  <c r="G18" i="2"/>
  <c r="J18" i="2"/>
  <c r="J14" i="2"/>
  <c r="G14" i="2"/>
  <c r="J22" i="2"/>
  <c r="G22" i="2"/>
  <c r="G15" i="2"/>
  <c r="J15" i="2"/>
  <c r="J16" i="2"/>
  <c r="G16" i="2"/>
  <c r="G19" i="2"/>
  <c r="J19" i="2"/>
  <c r="B13" i="2"/>
  <c r="C13" i="2" s="1"/>
  <c r="F74" i="2"/>
  <c r="P74" i="2"/>
  <c r="A76" i="2"/>
  <c r="B75" i="2"/>
  <c r="B47" i="1" l="1"/>
  <c r="B17" i="2"/>
  <c r="C17" i="2" s="1"/>
  <c r="B19" i="2"/>
  <c r="C19" i="2" s="1"/>
  <c r="B20" i="2"/>
  <c r="C20" i="2" s="1"/>
  <c r="B16" i="2"/>
  <c r="C16" i="2" s="1"/>
  <c r="B15" i="2"/>
  <c r="C15" i="2" s="1"/>
  <c r="B21" i="2"/>
  <c r="C21" i="2" s="1"/>
  <c r="B22" i="2"/>
  <c r="C22" i="2" s="1"/>
  <c r="B14" i="2"/>
  <c r="C14" i="2" s="1"/>
  <c r="B23" i="2"/>
  <c r="C23" i="2" s="1"/>
  <c r="B18" i="2"/>
  <c r="C18" i="2" s="1"/>
  <c r="P75" i="2"/>
  <c r="F75" i="2"/>
  <c r="A77" i="2"/>
  <c r="B76" i="2"/>
  <c r="A78" i="2" l="1"/>
  <c r="B77" i="2"/>
  <c r="F76" i="2"/>
  <c r="P76" i="2"/>
  <c r="F77" i="2" l="1"/>
  <c r="P77" i="2"/>
  <c r="B78" i="2"/>
  <c r="A79" i="2"/>
  <c r="P78" i="2" l="1"/>
  <c r="F78" i="2"/>
  <c r="A80" i="2"/>
  <c r="B79" i="2"/>
  <c r="B80" i="2" l="1"/>
  <c r="A81" i="2"/>
  <c r="P79" i="2"/>
  <c r="F79" i="2"/>
  <c r="A82" i="2" l="1"/>
  <c r="B81" i="2"/>
  <c r="F80" i="2"/>
  <c r="P80" i="2"/>
  <c r="F81" i="2" l="1"/>
  <c r="P81" i="2"/>
  <c r="A83" i="2"/>
  <c r="B82" i="2"/>
  <c r="A84" i="2" l="1"/>
  <c r="B83" i="2"/>
  <c r="F82" i="2"/>
  <c r="P82" i="2"/>
  <c r="P83" i="2" l="1"/>
  <c r="F83" i="2"/>
  <c r="B84" i="2"/>
  <c r="A85" i="2"/>
  <c r="F84" i="2" l="1"/>
  <c r="P84" i="2"/>
  <c r="A86" i="2"/>
  <c r="B85" i="2"/>
  <c r="B86" i="2" l="1"/>
  <c r="A87" i="2"/>
  <c r="F85" i="2"/>
  <c r="P85" i="2"/>
  <c r="B87" i="2" l="1"/>
  <c r="A88" i="2"/>
  <c r="F86" i="2"/>
  <c r="P86" i="2"/>
  <c r="B88" i="2" l="1"/>
  <c r="A89" i="2"/>
  <c r="P87" i="2"/>
  <c r="F87" i="2"/>
  <c r="A90" i="2" l="1"/>
  <c r="B89" i="2"/>
  <c r="F88" i="2"/>
  <c r="P88" i="2"/>
  <c r="F89" i="2" l="1"/>
  <c r="P89" i="2"/>
  <c r="A91" i="2"/>
  <c r="B90" i="2"/>
  <c r="A92" i="2" l="1"/>
  <c r="B91" i="2"/>
  <c r="P90" i="2"/>
  <c r="F90" i="2"/>
  <c r="P91" i="2" l="1"/>
  <c r="F91" i="2"/>
  <c r="B92" i="2"/>
  <c r="A93" i="2"/>
  <c r="F92" i="2" l="1"/>
  <c r="P92" i="2"/>
  <c r="A94" i="2"/>
  <c r="B93" i="2"/>
  <c r="F93" i="2" l="1"/>
  <c r="P93" i="2"/>
  <c r="B94" i="2"/>
  <c r="A95" i="2"/>
  <c r="P94" i="2" l="1"/>
  <c r="F94" i="2"/>
  <c r="A96" i="2"/>
  <c r="B95" i="2"/>
  <c r="P95" i="2" l="1"/>
  <c r="F95" i="2"/>
  <c r="B96" i="2"/>
  <c r="A97" i="2"/>
  <c r="F96" i="2" l="1"/>
  <c r="P96" i="2"/>
  <c r="A98" i="2"/>
  <c r="B97" i="2"/>
  <c r="A99" i="2" l="1"/>
  <c r="B98" i="2"/>
  <c r="F97" i="2"/>
  <c r="P97" i="2"/>
  <c r="F98" i="2" l="1"/>
  <c r="P98" i="2"/>
  <c r="B99" i="2"/>
  <c r="A100" i="2"/>
  <c r="P99" i="2" l="1"/>
  <c r="F99" i="2"/>
  <c r="B100" i="2"/>
  <c r="A101" i="2"/>
  <c r="F100" i="2" l="1"/>
  <c r="P100" i="2"/>
  <c r="A102" i="2"/>
  <c r="B101" i="2"/>
  <c r="B102" i="2" l="1"/>
  <c r="A103" i="2"/>
  <c r="F101" i="2"/>
  <c r="P101" i="2"/>
  <c r="B103" i="2" l="1"/>
  <c r="A104" i="2"/>
  <c r="F102" i="2"/>
  <c r="P102" i="2"/>
  <c r="B104" i="2" l="1"/>
  <c r="A105" i="2"/>
  <c r="P103" i="2"/>
  <c r="F103" i="2"/>
  <c r="A106" i="2" l="1"/>
  <c r="B105" i="2"/>
  <c r="F104" i="2"/>
  <c r="P104" i="2"/>
  <c r="F105" i="2" l="1"/>
  <c r="P105" i="2"/>
  <c r="A107" i="2"/>
  <c r="B106" i="2"/>
  <c r="A108" i="2" l="1"/>
  <c r="B107" i="2"/>
  <c r="P106" i="2"/>
  <c r="F106" i="2"/>
  <c r="P107" i="2" l="1"/>
  <c r="F107" i="2"/>
  <c r="B108" i="2"/>
  <c r="A109" i="2"/>
  <c r="F108" i="2" l="1"/>
  <c r="P108" i="2"/>
  <c r="A110" i="2"/>
  <c r="B109" i="2"/>
  <c r="B110" i="2" l="1"/>
  <c r="A111" i="2"/>
  <c r="F109" i="2"/>
  <c r="P109" i="2"/>
  <c r="P110" i="2" l="1"/>
  <c r="F110" i="2"/>
</calcChain>
</file>

<file path=xl/sharedStrings.xml><?xml version="1.0" encoding="utf-8"?>
<sst xmlns="http://schemas.openxmlformats.org/spreadsheetml/2006/main" count="382" uniqueCount="184">
  <si>
    <t>Power Loss Calculation</t>
  </si>
  <si>
    <t>Switching Frequency</t>
  </si>
  <si>
    <t>kHz</t>
  </si>
  <si>
    <t>Input Voltage</t>
  </si>
  <si>
    <t>V</t>
  </si>
  <si>
    <t>Duty Cycle</t>
  </si>
  <si>
    <t>Ouptut Voltage</t>
  </si>
  <si>
    <t>Effective Output Resistance</t>
  </si>
  <si>
    <t>Ohm</t>
  </si>
  <si>
    <t>Output Current</t>
  </si>
  <si>
    <t>A</t>
  </si>
  <si>
    <t>OUTPUT INDUCTOR</t>
  </si>
  <si>
    <r>
      <t>Inductor Current Ripple Ratio (</t>
    </r>
    <r>
      <rPr>
        <b/>
        <sz val="10"/>
        <rFont val="Arial"/>
        <family val="2"/>
      </rPr>
      <t>∆</t>
    </r>
    <r>
      <rPr>
        <b/>
        <sz val="10"/>
        <rFont val="Times New Roman"/>
        <family val="1"/>
      </rPr>
      <t>I/Iin)</t>
    </r>
  </si>
  <si>
    <t>%</t>
  </si>
  <si>
    <t>Recommended Inductor</t>
  </si>
  <si>
    <t>uH</t>
  </si>
  <si>
    <t>Current Ripple</t>
  </si>
  <si>
    <t>Ap-p</t>
  </si>
  <si>
    <t>Input Inductor</t>
  </si>
  <si>
    <t>Inductor Average Current</t>
  </si>
  <si>
    <t>Conduction Loss</t>
  </si>
  <si>
    <t>Switching Loss</t>
  </si>
  <si>
    <t xml:space="preserve">     DCR</t>
  </si>
  <si>
    <t>mOhm</t>
  </si>
  <si>
    <t>Inductor Peak Current</t>
  </si>
  <si>
    <t>Q1</t>
  </si>
  <si>
    <t>Q2</t>
  </si>
  <si>
    <t>OUTPUT CAPACITOR</t>
  </si>
  <si>
    <t>Number of Output Capacitor</t>
  </si>
  <si>
    <t xml:space="preserve">   Capacitance (Each)</t>
  </si>
  <si>
    <t>uF</t>
  </si>
  <si>
    <t>Driver</t>
  </si>
  <si>
    <t xml:space="preserve">   ESR (Each)</t>
  </si>
  <si>
    <t>Output Inductor</t>
  </si>
  <si>
    <t>Ouput Cap. ESR</t>
  </si>
  <si>
    <t>Rdson</t>
  </si>
  <si>
    <t xml:space="preserve">Rdson </t>
  </si>
  <si>
    <t>Thermal Resitance</t>
  </si>
  <si>
    <r>
      <rPr>
        <b/>
        <sz val="10"/>
        <rFont val="Symbol"/>
        <family val="1"/>
        <charset val="2"/>
      </rPr>
      <t>°</t>
    </r>
    <r>
      <rPr>
        <b/>
        <sz val="10"/>
        <rFont val="Arial"/>
        <family val="2"/>
      </rPr>
      <t>C/Watt</t>
    </r>
  </si>
  <si>
    <t>Ambient Temperature</t>
  </si>
  <si>
    <r>
      <rPr>
        <b/>
        <sz val="10"/>
        <rFont val="Symbol"/>
        <family val="1"/>
        <charset val="2"/>
      </rPr>
      <t>°</t>
    </r>
    <r>
      <rPr>
        <b/>
        <sz val="10"/>
        <rFont val="Arial"/>
        <family val="2"/>
      </rPr>
      <t>C</t>
    </r>
  </si>
  <si>
    <t>Total Loss</t>
  </si>
  <si>
    <t>Watts</t>
  </si>
  <si>
    <t>Efficiency</t>
  </si>
  <si>
    <t>Power Dissipation in IC</t>
  </si>
  <si>
    <t>W</t>
  </si>
  <si>
    <t>UPPER MOSFET (VIN to PHASE1)</t>
  </si>
  <si>
    <t xml:space="preserve">  Q1, Rds,on</t>
  </si>
  <si>
    <t xml:space="preserve">   Vd</t>
  </si>
  <si>
    <t xml:space="preserve">   Qrr</t>
  </si>
  <si>
    <t>nC</t>
  </si>
  <si>
    <t xml:space="preserve">   Qg</t>
  </si>
  <si>
    <t>Rdson*Qg</t>
  </si>
  <si>
    <t>mOhm*C</t>
  </si>
  <si>
    <t xml:space="preserve">   Cgs</t>
  </si>
  <si>
    <t>nF</t>
  </si>
  <si>
    <t>Rdson*Cgs</t>
  </si>
  <si>
    <t>mOhm*nF</t>
  </si>
  <si>
    <t xml:space="preserve">   Coss</t>
  </si>
  <si>
    <t>Rdson*Coss</t>
  </si>
  <si>
    <t xml:space="preserve">   Tr</t>
  </si>
  <si>
    <t>ns</t>
  </si>
  <si>
    <t>Switching time of upper MOSFET from OFF to ON</t>
  </si>
  <si>
    <t xml:space="preserve">   Tf</t>
  </si>
  <si>
    <t>Switching time of upper MOSFET from ON to OFF</t>
  </si>
  <si>
    <t xml:space="preserve">   n</t>
  </si>
  <si>
    <t>Number of upper MOSFETs</t>
  </si>
  <si>
    <t xml:space="preserve">   Pcon</t>
  </si>
  <si>
    <t>Upper MOSFETs conduction loss = (Irms.upper)^2*Rds/n</t>
  </si>
  <si>
    <t xml:space="preserve">   Psw_on</t>
  </si>
  <si>
    <t>Upper MOSFETs turn-ON switching loss = Vin*(Iout-Irip/2)*Tr*Fsw/2</t>
  </si>
  <si>
    <t xml:space="preserve">   Psw_off</t>
  </si>
  <si>
    <t>Upper MOSFETs turn-OFF switching loss = Vin*(Iout+Irip/2)*Tf*Fsw/2</t>
  </si>
  <si>
    <t xml:space="preserve">   Pdiode</t>
  </si>
  <si>
    <t>Upper MOSFET diode reverse recovery loss = n*Vin*Fsw*Qrr</t>
  </si>
  <si>
    <t xml:space="preserve">   Pcap</t>
  </si>
  <si>
    <t>MOSFET output capacitance loss  = n*Coss*(Vin)^2*Fsw/2</t>
  </si>
  <si>
    <t xml:space="preserve">   Pupper</t>
  </si>
  <si>
    <t>Total upper MOSFETs Power loss</t>
  </si>
  <si>
    <t>LOWER MOSFET (PHASE1 to PGND)</t>
  </si>
  <si>
    <t xml:space="preserve">  Q2,  Rds,on</t>
  </si>
  <si>
    <t xml:space="preserve">   Td_on</t>
  </si>
  <si>
    <t>Dead time for UGATE OFF to LGATE ON</t>
  </si>
  <si>
    <t xml:space="preserve">   Td_off</t>
  </si>
  <si>
    <t>Dead time for LGATE ON to UGATE OFF</t>
  </si>
  <si>
    <t>Number of lower MOSFETs</t>
  </si>
  <si>
    <t>Lower MOSFET conduction loss = (Irms.lower)^2*Rds/n</t>
  </si>
  <si>
    <t>Body diode conduction loss = Vd*Fsw*[ (Iin+Irip/2) * Td1+ (Iin-Irip/2) * Td2]</t>
  </si>
  <si>
    <t xml:space="preserve">   Pdiode_QRR</t>
  </si>
  <si>
    <t>Lower MOSFET diode reverse recovery loss = n*Vout*Fsw*Qrr</t>
  </si>
  <si>
    <t>MOSFET output capacitance loss  = n*Coss*(Vout)^2*Fsw/2</t>
  </si>
  <si>
    <t xml:space="preserve">   Plower</t>
  </si>
  <si>
    <t>Total lower MOSFETs Power loss</t>
  </si>
  <si>
    <t>Upper MOSFETs turn-ON switching loss = Vout*(Iout-Irip/2)*Tr*Fsw/2</t>
  </si>
  <si>
    <t>Upper MOSFETs turn-OFF switching loss = Vout*(Iout+Irip/2)*Tf*Fsw/2</t>
  </si>
  <si>
    <t>Upper MOSFET diode reverse recovery loss = n*Vout*Fsw*Qrr</t>
  </si>
  <si>
    <t>DRIVER POWER LOSS</t>
  </si>
  <si>
    <t>Vgs,u</t>
  </si>
  <si>
    <t>Vgs,l</t>
  </si>
  <si>
    <t>Iq</t>
  </si>
  <si>
    <t>mA</t>
  </si>
  <si>
    <t>Quiescent Current</t>
  </si>
  <si>
    <t>Pdr,Q1</t>
  </si>
  <si>
    <t>Upper MOSFET driver loss = n*Vgs1*Fsw*Qg.up</t>
  </si>
  <si>
    <t>Pdr,Q2</t>
  </si>
  <si>
    <t>Lower MOSFET driver loss = n*Vgs2*Fsw*Qg.low</t>
  </si>
  <si>
    <t>Pdr,Q3</t>
  </si>
  <si>
    <t>Pdr,Q4</t>
  </si>
  <si>
    <t>Pdriver</t>
  </si>
  <si>
    <t>Total driver power loss</t>
  </si>
  <si>
    <t>OUTPUT INDUCTOR LOSS</t>
  </si>
  <si>
    <t>Pcore</t>
  </si>
  <si>
    <t>Inductor core loss</t>
  </si>
  <si>
    <t>Pcon</t>
  </si>
  <si>
    <t>Inductor conduction loss = (Irms)^2*DCR</t>
  </si>
  <si>
    <t>Pind</t>
  </si>
  <si>
    <t>Total inductor loss</t>
  </si>
  <si>
    <t>OUTPUT CAPACITOR LOSS</t>
  </si>
  <si>
    <t>Pesr</t>
  </si>
  <si>
    <t>ESR Conduction Loss</t>
  </si>
  <si>
    <t>PWM Efficiency Summary</t>
  </si>
  <si>
    <t>Min Current</t>
  </si>
  <si>
    <t>Max Current</t>
  </si>
  <si>
    <t xml:space="preserve">Total Power Loss </t>
  </si>
  <si>
    <t>Losses in Q1 MOSFET</t>
  </si>
  <si>
    <t>Losses in Q2 MOSFET</t>
  </si>
  <si>
    <t>Losses in Q3 MOSFET</t>
  </si>
  <si>
    <t>Losses in Q4 MOSFET</t>
  </si>
  <si>
    <t>Driver Loss</t>
  </si>
  <si>
    <t>Inductor Loss</t>
  </si>
  <si>
    <t>Capactor Loss</t>
  </si>
  <si>
    <t>D</t>
  </si>
  <si>
    <t>Irip</t>
  </si>
  <si>
    <t>Iup,rms</t>
  </si>
  <si>
    <t>Ilos,rms</t>
  </si>
  <si>
    <t>PFM Efficiency Summary</t>
  </si>
  <si>
    <t>PFM Pk Current</t>
  </si>
  <si>
    <t>V_ls_diode</t>
  </si>
  <si>
    <t xml:space="preserve">Vout Upper </t>
  </si>
  <si>
    <t>Dead Time</t>
  </si>
  <si>
    <t>nsec</t>
  </si>
  <si>
    <t>Iout_PFM</t>
  </si>
  <si>
    <t>uA</t>
  </si>
  <si>
    <t>dt1</t>
  </si>
  <si>
    <t>second</t>
  </si>
  <si>
    <t>On time pulse</t>
  </si>
  <si>
    <t>dt2</t>
  </si>
  <si>
    <t>Off time pulse</t>
  </si>
  <si>
    <t>f1</t>
  </si>
  <si>
    <t>Hz</t>
  </si>
  <si>
    <t>f1=1/(dt1+dt2)</t>
  </si>
  <si>
    <t>f2</t>
  </si>
  <si>
    <t>f2=2*Iout(I_PFM_pk/2 -Iout)/((Vout_upper-Vout)*Cout*I_PFM_pk)</t>
  </si>
  <si>
    <t>P_lnd_cond</t>
  </si>
  <si>
    <t>Inductor conduction loss</t>
  </si>
  <si>
    <t>P_lnd_ac</t>
  </si>
  <si>
    <t>P_hs_cond</t>
  </si>
  <si>
    <t>P_hs_cond=Rdson_hs*2*Iout*T_PFM_pk*Vout/(3*Vin)</t>
  </si>
  <si>
    <t>P_hs_turn_off</t>
  </si>
  <si>
    <t>P_hs_turn_off is the ac loss = 2*Cgsp*Vin^2*Iout(Vout*(Vin-Vout)/(I_PFM_pk*L*)*tf</t>
  </si>
  <si>
    <t>P_hs_gate_drive</t>
  </si>
  <si>
    <t>P_hs_gate_drive is the gate driver loss = Cgshs*Vgs^2*2*Iout*Vout*(Vin-Vout)/(I_PFM_pk^2*L*Vdr)</t>
  </si>
  <si>
    <t>N_ls_cond</t>
  </si>
  <si>
    <t>N_ls_cond=Rdson_ls*2*Iout*I_PFM_pk*(Vin-Vout)/(3*Vin)</t>
  </si>
  <si>
    <t>N_ls_gate_drive</t>
  </si>
  <si>
    <t>N_ls_gate_drive is the gate driver loss = Cgshs*Vgs^2*2*Iout*Vout*(Vin-Vout)/(I_PFM_pk^2*L*Vdr)</t>
  </si>
  <si>
    <t>D_ls_diode</t>
  </si>
  <si>
    <t>N_ls_diode=V_ls_diode*Dead_time*2*Iout*Vout*(Vin-Vout)/(I_PFM_pk^2*Lout*Vin)</t>
  </si>
  <si>
    <t>Cout_esr</t>
  </si>
  <si>
    <t>Cout_esr=Resr*Iout*I_PFM_pk/6</t>
  </si>
  <si>
    <t>P_iq</t>
  </si>
  <si>
    <t>Quiescent Power Loss=Iq*Vin</t>
  </si>
  <si>
    <t>Pwr Loss Total</t>
  </si>
  <si>
    <t>Efficiency_PFM</t>
  </si>
  <si>
    <t>step</t>
  </si>
  <si>
    <t>Output Iout</t>
  </si>
  <si>
    <t>Q1 MOSFET (VIN-SW1)</t>
  </si>
  <si>
    <t>Q2 MOSFET (SW1-PGND)</t>
  </si>
  <si>
    <t>Q1 MOSFET (SW-VOUT)</t>
  </si>
  <si>
    <t>Q2 MOSFET (SW-PGND)</t>
  </si>
  <si>
    <t>UPPER MOSFET SW to VOUT)</t>
  </si>
  <si>
    <t>LOWER MOSFET (SW to PGND)</t>
  </si>
  <si>
    <t>Off Time</t>
  </si>
  <si>
    <t>Junction 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</si>
</sst>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0.000"/>
    <numFmt numFmtId="166" formatCode="0.0E+00"/>
    <numFmt numFmtId="167" formatCode="#,##0.0"/>
    <numFmt numFmtId="168" formatCode="#,##0.000"/>
    <numFmt numFmtId="169" formatCode="0.000E+00"/>
    <numFmt numFmtId="170" formatCode="0.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i/>
      <u/>
      <sz val="10"/>
      <name val="Arial"/>
      <family val="2"/>
    </font>
    <font>
      <b/>
      <sz val="10"/>
      <color theme="0"/>
      <name val="Arial"/>
      <family val="2"/>
    </font>
    <font>
      <b/>
      <sz val="10"/>
      <name val="Times New Roman"/>
      <family val="1"/>
    </font>
    <font>
      <b/>
      <sz val="10"/>
      <name val="Symbol"/>
      <family val="1"/>
      <charset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i/>
      <u/>
      <sz val="10"/>
      <color theme="0"/>
      <name val="Arial"/>
      <family val="2"/>
    </font>
    <font>
      <b/>
      <sz val="22"/>
      <name val="Arial"/>
      <family val="2"/>
    </font>
    <font>
      <b/>
      <i/>
      <u/>
      <sz val="10"/>
      <color rgb="FFFF000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0"/>
      <color theme="0"/>
      <name val="Arial"/>
      <family val="2"/>
    </font>
    <font>
      <b/>
      <i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97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3" fillId="2" borderId="0" xfId="0" applyFont="1" applyFill="1"/>
    <xf numFmtId="0" fontId="4" fillId="2" borderId="0" xfId="0" applyFont="1" applyFill="1"/>
    <xf numFmtId="0" fontId="2" fillId="4" borderId="0" xfId="0" applyFont="1" applyFill="1"/>
    <xf numFmtId="164" fontId="2" fillId="5" borderId="0" xfId="0" applyNumberFormat="1" applyFont="1" applyFill="1" applyProtection="1">
      <protection locked="0"/>
    </xf>
    <xf numFmtId="2" fontId="2" fillId="3" borderId="0" xfId="0" applyNumberFormat="1" applyFont="1" applyFill="1"/>
    <xf numFmtId="0" fontId="5" fillId="2" borderId="0" xfId="0" applyFont="1" applyFill="1"/>
    <xf numFmtId="2" fontId="2" fillId="5" borderId="0" xfId="0" applyNumberFormat="1" applyFont="1" applyFill="1" applyProtection="1">
      <protection locked="0"/>
    </xf>
    <xf numFmtId="2" fontId="2" fillId="2" borderId="0" xfId="0" applyNumberFormat="1" applyFont="1" applyFill="1"/>
    <xf numFmtId="165" fontId="2" fillId="3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5" borderId="0" xfId="0" applyFont="1" applyFill="1" applyProtection="1">
      <protection locked="0"/>
    </xf>
    <xf numFmtId="0" fontId="8" fillId="4" borderId="0" xfId="0" applyFont="1" applyFill="1"/>
    <xf numFmtId="165" fontId="2" fillId="2" borderId="0" xfId="0" applyNumberFormat="1" applyFont="1" applyFill="1"/>
    <xf numFmtId="0" fontId="7" fillId="2" borderId="0" xfId="0" applyFont="1" applyFill="1" applyProtection="1">
      <protection hidden="1"/>
    </xf>
    <xf numFmtId="0" fontId="2" fillId="2" borderId="0" xfId="0" quotePrefix="1" applyFont="1" applyFill="1"/>
    <xf numFmtId="1" fontId="2" fillId="5" borderId="0" xfId="0" applyNumberFormat="1" applyFont="1" applyFill="1" applyProtection="1">
      <protection locked="0"/>
    </xf>
    <xf numFmtId="165" fontId="7" fillId="2" borderId="0" xfId="0" applyNumberFormat="1" applyFont="1" applyFill="1" applyProtection="1">
      <protection hidden="1"/>
    </xf>
    <xf numFmtId="165" fontId="7" fillId="2" borderId="0" xfId="0" applyNumberFormat="1" applyFont="1" applyFill="1"/>
    <xf numFmtId="1" fontId="2" fillId="2" borderId="0" xfId="0" applyNumberFormat="1" applyFont="1" applyFill="1"/>
    <xf numFmtId="166" fontId="7" fillId="2" borderId="0" xfId="0" applyNumberFormat="1" applyFont="1" applyFill="1" applyProtection="1">
      <protection hidden="1"/>
    </xf>
    <xf numFmtId="1" fontId="2" fillId="6" borderId="0" xfId="0" applyNumberFormat="1" applyFont="1" applyFill="1" applyProtection="1">
      <protection locked="0"/>
    </xf>
    <xf numFmtId="0" fontId="2" fillId="6" borderId="0" xfId="0" applyFont="1" applyFill="1"/>
    <xf numFmtId="0" fontId="2" fillId="2" borderId="0" xfId="1" applyFont="1" applyFill="1"/>
    <xf numFmtId="0" fontId="2" fillId="4" borderId="0" xfId="1" applyFont="1" applyFill="1"/>
    <xf numFmtId="0" fontId="10" fillId="2" borderId="0" xfId="0" applyFont="1" applyFill="1"/>
    <xf numFmtId="165" fontId="11" fillId="3" borderId="0" xfId="0" applyNumberFormat="1" applyFont="1" applyFill="1"/>
    <xf numFmtId="0" fontId="11" fillId="4" borderId="0" xfId="0" applyFont="1" applyFill="1"/>
    <xf numFmtId="1" fontId="2" fillId="3" borderId="0" xfId="1" applyNumberFormat="1" applyFont="1" applyFill="1"/>
    <xf numFmtId="165" fontId="2" fillId="7" borderId="0" xfId="0" applyNumberFormat="1" applyFont="1" applyFill="1"/>
    <xf numFmtId="0" fontId="2" fillId="8" borderId="0" xfId="0" applyFont="1" applyFill="1"/>
    <xf numFmtId="1" fontId="2" fillId="2" borderId="1" xfId="0" applyNumberFormat="1" applyFont="1" applyFill="1" applyBorder="1"/>
    <xf numFmtId="1" fontId="3" fillId="2" borderId="0" xfId="0" applyNumberFormat="1" applyFont="1" applyFill="1"/>
    <xf numFmtId="0" fontId="12" fillId="2" borderId="0" xfId="0" applyFont="1" applyFill="1"/>
    <xf numFmtId="0" fontId="13" fillId="2" borderId="0" xfId="0" applyFont="1" applyFill="1" applyProtection="1">
      <protection hidden="1"/>
    </xf>
    <xf numFmtId="0" fontId="14" fillId="2" borderId="0" xfId="0" applyFont="1" applyFill="1"/>
    <xf numFmtId="0" fontId="3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164" fontId="3" fillId="2" borderId="0" xfId="0" applyNumberFormat="1" applyFont="1" applyFill="1" applyProtection="1">
      <protection hidden="1"/>
    </xf>
    <xf numFmtId="167" fontId="3" fillId="2" borderId="0" xfId="0" applyNumberFormat="1" applyFont="1" applyFill="1" applyProtection="1">
      <protection hidden="1"/>
    </xf>
    <xf numFmtId="11" fontId="3" fillId="2" borderId="0" xfId="0" applyNumberFormat="1" applyFont="1" applyFill="1" applyProtection="1">
      <protection hidden="1"/>
    </xf>
    <xf numFmtId="168" fontId="3" fillId="2" borderId="0" xfId="0" applyNumberFormat="1" applyFont="1" applyFill="1" applyProtection="1">
      <protection hidden="1"/>
    </xf>
    <xf numFmtId="0" fontId="3" fillId="2" borderId="0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1" fontId="3" fillId="2" borderId="0" xfId="0" applyNumberFormat="1" applyFont="1" applyFill="1" applyBorder="1" applyProtection="1">
      <protection hidden="1"/>
    </xf>
    <xf numFmtId="0" fontId="7" fillId="2" borderId="0" xfId="0" applyFont="1" applyFill="1" applyBorder="1" applyProtection="1">
      <protection hidden="1"/>
    </xf>
    <xf numFmtId="0" fontId="12" fillId="2" borderId="0" xfId="0" applyFont="1" applyFill="1" applyBorder="1" applyProtection="1">
      <protection hidden="1"/>
    </xf>
    <xf numFmtId="165" fontId="3" fillId="2" borderId="0" xfId="0" applyNumberFormat="1" applyFont="1" applyFill="1" applyProtection="1">
      <protection hidden="1"/>
    </xf>
    <xf numFmtId="165" fontId="3" fillId="0" borderId="0" xfId="0" applyNumberFormat="1" applyFont="1"/>
    <xf numFmtId="0" fontId="15" fillId="2" borderId="0" xfId="0" applyFont="1" applyFill="1" applyProtection="1">
      <protection hidden="1"/>
    </xf>
    <xf numFmtId="1" fontId="3" fillId="2" borderId="0" xfId="0" applyNumberFormat="1" applyFont="1" applyFill="1" applyProtection="1">
      <protection hidden="1"/>
    </xf>
    <xf numFmtId="165" fontId="12" fillId="2" borderId="0" xfId="0" applyNumberFormat="1" applyFont="1" applyFill="1" applyProtection="1">
      <protection hidden="1"/>
    </xf>
    <xf numFmtId="4" fontId="3" fillId="2" borderId="0" xfId="0" applyNumberFormat="1" applyFont="1" applyFill="1" applyProtection="1">
      <protection hidden="1"/>
    </xf>
    <xf numFmtId="165" fontId="3" fillId="2" borderId="0" xfId="0" applyNumberFormat="1" applyFont="1" applyFill="1"/>
    <xf numFmtId="1" fontId="2" fillId="3" borderId="0" xfId="0" applyNumberFormat="1" applyFont="1" applyFill="1"/>
    <xf numFmtId="0" fontId="2" fillId="2" borderId="0" xfId="0" applyFont="1" applyFill="1" applyBorder="1"/>
    <xf numFmtId="0" fontId="16" fillId="2" borderId="0" xfId="0" applyFont="1" applyFill="1"/>
    <xf numFmtId="0" fontId="17" fillId="2" borderId="0" xfId="0" applyFont="1" applyFill="1"/>
    <xf numFmtId="0" fontId="12" fillId="2" borderId="0" xfId="0" applyFont="1" applyFill="1" applyBorder="1"/>
    <xf numFmtId="0" fontId="7" fillId="6" borderId="0" xfId="0" applyFont="1" applyFill="1"/>
    <xf numFmtId="0" fontId="2" fillId="2" borderId="0" xfId="0" applyFont="1" applyFill="1" applyProtection="1">
      <protection hidden="1"/>
    </xf>
    <xf numFmtId="11" fontId="12" fillId="2" borderId="0" xfId="0" applyNumberFormat="1" applyFont="1" applyFill="1" applyProtection="1">
      <protection hidden="1"/>
    </xf>
    <xf numFmtId="0" fontId="2" fillId="2" borderId="0" xfId="0" applyFont="1" applyFill="1" applyBorder="1" applyProtection="1">
      <protection hidden="1"/>
    </xf>
    <xf numFmtId="11" fontId="12" fillId="2" borderId="0" xfId="0" applyNumberFormat="1" applyFont="1" applyFill="1" applyBorder="1" applyProtection="1">
      <protection hidden="1"/>
    </xf>
    <xf numFmtId="0" fontId="2" fillId="5" borderId="0" xfId="0" applyFont="1" applyFill="1" applyProtection="1">
      <protection locked="0"/>
    </xf>
    <xf numFmtId="164" fontId="7" fillId="2" borderId="0" xfId="0" applyNumberFormat="1" applyFont="1" applyFill="1" applyProtection="1">
      <protection hidden="1"/>
    </xf>
    <xf numFmtId="168" fontId="7" fillId="2" borderId="0" xfId="0" applyNumberFormat="1" applyFont="1" applyFill="1" applyProtection="1">
      <protection hidden="1"/>
    </xf>
    <xf numFmtId="11" fontId="7" fillId="2" borderId="0" xfId="0" applyNumberFormat="1" applyFont="1" applyFill="1" applyProtection="1">
      <protection hidden="1"/>
    </xf>
    <xf numFmtId="0" fontId="7" fillId="0" borderId="0" xfId="0" applyFont="1" applyFill="1" applyBorder="1" applyProtection="1">
      <protection hidden="1"/>
    </xf>
    <xf numFmtId="1" fontId="7" fillId="2" borderId="0" xfId="0" applyNumberFormat="1" applyFont="1" applyFill="1" applyBorder="1" applyProtection="1">
      <protection hidden="1"/>
    </xf>
    <xf numFmtId="165" fontId="7" fillId="0" borderId="0" xfId="0" applyNumberFormat="1" applyFont="1"/>
    <xf numFmtId="1" fontId="7" fillId="2" borderId="0" xfId="0" applyNumberFormat="1" applyFont="1" applyFill="1" applyProtection="1">
      <protection hidden="1"/>
    </xf>
    <xf numFmtId="4" fontId="7" fillId="2" borderId="0" xfId="0" applyNumberFormat="1" applyFont="1" applyFill="1" applyProtection="1">
      <protection hidden="1"/>
    </xf>
    <xf numFmtId="0" fontId="19" fillId="2" borderId="0" xfId="0" applyFont="1" applyFill="1" applyProtection="1">
      <protection hidden="1"/>
    </xf>
    <xf numFmtId="11" fontId="7" fillId="2" borderId="0" xfId="0" applyNumberFormat="1" applyFont="1" applyFill="1" applyBorder="1" applyProtection="1">
      <protection hidden="1"/>
    </xf>
    <xf numFmtId="169" fontId="7" fillId="2" borderId="0" xfId="0" applyNumberFormat="1" applyFont="1" applyFill="1" applyProtection="1">
      <protection hidden="1"/>
    </xf>
    <xf numFmtId="165" fontId="19" fillId="2" borderId="0" xfId="0" applyNumberFormat="1" applyFont="1" applyFill="1" applyProtection="1">
      <protection hidden="1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165" fontId="7" fillId="2" borderId="0" xfId="0" applyNumberFormat="1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165" fontId="7" fillId="2" borderId="0" xfId="0" applyNumberFormat="1" applyFont="1" applyFill="1" applyBorder="1"/>
    <xf numFmtId="170" fontId="7" fillId="2" borderId="0" xfId="0" applyNumberFormat="1" applyFont="1" applyFill="1" applyBorder="1"/>
    <xf numFmtId="0" fontId="7" fillId="2" borderId="0" xfId="0" applyFont="1" applyFill="1" applyAlignment="1">
      <alignment horizontal="right"/>
    </xf>
    <xf numFmtId="0" fontId="20" fillId="6" borderId="0" xfId="0" applyFont="1" applyFill="1"/>
    <xf numFmtId="0" fontId="7" fillId="6" borderId="0" xfId="0" applyFont="1" applyFill="1" applyProtection="1"/>
    <xf numFmtId="0" fontId="7" fillId="2" borderId="0" xfId="0" quotePrefix="1" applyFont="1" applyFill="1" applyProtection="1">
      <protection hidden="1"/>
    </xf>
    <xf numFmtId="165" fontId="7" fillId="6" borderId="0" xfId="0" applyNumberFormat="1" applyFont="1" applyFill="1"/>
    <xf numFmtId="2" fontId="7" fillId="2" borderId="0" xfId="0" applyNumberFormat="1" applyFont="1" applyFill="1"/>
    <xf numFmtId="0" fontId="7" fillId="6" borderId="0" xfId="0" applyFont="1" applyFill="1" applyAlignment="1" applyProtection="1">
      <alignment horizontal="right"/>
    </xf>
    <xf numFmtId="11" fontId="7" fillId="6" borderId="0" xfId="0" applyNumberFormat="1" applyFont="1" applyFill="1" applyProtection="1"/>
    <xf numFmtId="0" fontId="2" fillId="5" borderId="0" xfId="1" applyFont="1" applyFill="1" applyProtection="1">
      <protection locked="0"/>
    </xf>
  </cellXfs>
  <cellStyles count="3">
    <cellStyle name="Normal" xfId="0" builtinId="0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US"/>
              <a:t>Power Loss Distribution Chart</a:t>
            </a:r>
          </a:p>
        </c:rich>
      </c:tx>
      <c:layout>
        <c:manualLayout>
          <c:xMode val="edge"/>
          <c:yMode val="edge"/>
          <c:x val="0.30381469028513319"/>
          <c:y val="3.1041944168113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23978201634879"/>
          <c:y val="0.19290486517035188"/>
          <c:w val="0.82152588555858308"/>
          <c:h val="0.58758378471429018"/>
        </c:manualLayout>
      </c:layout>
      <c:barChart>
        <c:barDir val="col"/>
        <c:grouping val="stacked"/>
        <c:varyColors val="0"/>
        <c:ser>
          <c:idx val="0"/>
          <c:order val="0"/>
          <c:tx>
            <c:v>Conduction Losses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'Power Loss'!$J$30:$J$34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Driver</c:v>
                </c:pt>
                <c:pt idx="3">
                  <c:v>Output Inductor</c:v>
                </c:pt>
                <c:pt idx="4">
                  <c:v>Ouput Cap. ESR</c:v>
                </c:pt>
              </c:strCache>
            </c:strRef>
          </c:cat>
          <c:val>
            <c:numRef>
              <c:f>'Power Loss'!$K$30:$K$34</c:f>
              <c:numCache>
                <c:formatCode>0.000</c:formatCode>
                <c:ptCount val="5"/>
                <c:pt idx="0">
                  <c:v>0.14013671117247661</c:v>
                </c:pt>
                <c:pt idx="1">
                  <c:v>6.4530410761407295E-2</c:v>
                </c:pt>
                <c:pt idx="3">
                  <c:v>4.3692862700156904E-2</c:v>
                </c:pt>
                <c:pt idx="4" formatCode="0.0E+00">
                  <c:v>5.531178065263482E-4</c:v>
                </c:pt>
              </c:numCache>
            </c:numRef>
          </c:val>
        </c:ser>
        <c:ser>
          <c:idx val="1"/>
          <c:order val="1"/>
          <c:tx>
            <c:v>Switching Losses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'Power Loss'!$J$30:$J$34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Driver</c:v>
                </c:pt>
                <c:pt idx="3">
                  <c:v>Output Inductor</c:v>
                </c:pt>
                <c:pt idx="4">
                  <c:v>Ouput Cap. ESR</c:v>
                </c:pt>
              </c:strCache>
            </c:strRef>
          </c:cat>
          <c:val>
            <c:numRef>
              <c:f>'Power Loss'!$L$30:$L$34</c:f>
              <c:numCache>
                <c:formatCode>0.000</c:formatCode>
                <c:ptCount val="5"/>
                <c:pt idx="0">
                  <c:v>7.7061301673601507E-2</c:v>
                </c:pt>
                <c:pt idx="1">
                  <c:v>2.6333261581137312E-2</c:v>
                </c:pt>
                <c:pt idx="2">
                  <c:v>7.4137142857142846E-2</c:v>
                </c:pt>
                <c:pt idx="3">
                  <c:v>9.8237957908979726E-2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95296"/>
        <c:axId val="51091712"/>
      </c:barChart>
      <c:catAx>
        <c:axId val="389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Component</a:t>
                </a:r>
              </a:p>
            </c:rich>
          </c:tx>
          <c:layout>
            <c:manualLayout>
              <c:xMode val="edge"/>
              <c:yMode val="edge"/>
              <c:x val="0.48092640534530728"/>
              <c:y val="0.90465752808736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091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091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Watts</a:t>
                </a:r>
              </a:p>
            </c:rich>
          </c:tx>
          <c:layout>
            <c:manualLayout>
              <c:xMode val="edge"/>
              <c:yMode val="edge"/>
              <c:x val="2.0435917543049277E-2"/>
              <c:y val="0.4323730518695869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529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71623508180167794"/>
          <c:y val="0.18843683083511778"/>
          <c:w val="0.23783552294708046"/>
          <c:h val="8.9935760171306209E-2"/>
        </c:manualLayout>
      </c:layout>
      <c:overlay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Efficiency Vs. Load </a:t>
            </a:r>
          </a:p>
        </c:rich>
      </c:tx>
      <c:layout>
        <c:manualLayout>
          <c:xMode val="edge"/>
          <c:yMode val="edge"/>
          <c:x val="0.38507249570902874"/>
          <c:y val="2.92396345193692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791440282383464E-2"/>
          <c:y val="0.16374300176466894"/>
          <c:w val="0.88295275096507109"/>
          <c:h val="0.73879282939058954"/>
        </c:manualLayout>
      </c:layout>
      <c:scatterChart>
        <c:scatterStyle val="smoothMarker"/>
        <c:varyColors val="0"/>
        <c:ser>
          <c:idx val="0"/>
          <c:order val="0"/>
          <c:tx>
            <c:v>PWM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'Efficiency Summary'!$A$13:$A$23</c:f>
              <c:numCache>
                <c:formatCode>General</c:formatCode>
                <c:ptCount val="11"/>
                <c:pt idx="0">
                  <c:v>0.01</c:v>
                </c:pt>
                <c:pt idx="1">
                  <c:v>1.4975E-2</c:v>
                </c:pt>
                <c:pt idx="2">
                  <c:v>2.9900000000000003E-2</c:v>
                </c:pt>
                <c:pt idx="3">
                  <c:v>0.1095</c:v>
                </c:pt>
                <c:pt idx="4">
                  <c:v>0.40800000000000003</c:v>
                </c:pt>
                <c:pt idx="5">
                  <c:v>0.80600000000000005</c:v>
                </c:pt>
                <c:pt idx="6">
                  <c:v>1.204</c:v>
                </c:pt>
                <c:pt idx="7">
                  <c:v>1.403</c:v>
                </c:pt>
                <c:pt idx="8">
                  <c:v>1.6020000000000001</c:v>
                </c:pt>
                <c:pt idx="9">
                  <c:v>1.8009999999999999</c:v>
                </c:pt>
                <c:pt idx="10">
                  <c:v>2</c:v>
                </c:pt>
              </c:numCache>
            </c:numRef>
          </c:xVal>
          <c:yVal>
            <c:numRef>
              <c:f>'Efficiency Summary'!$C$13:$C$23</c:f>
              <c:numCache>
                <c:formatCode>0.00</c:formatCode>
                <c:ptCount val="11"/>
                <c:pt idx="0">
                  <c:v>21.52640329053888</c:v>
                </c:pt>
                <c:pt idx="1">
                  <c:v>29.100068667716339</c:v>
                </c:pt>
                <c:pt idx="2">
                  <c:v>44.975287268042415</c:v>
                </c:pt>
                <c:pt idx="3">
                  <c:v>74.655678755834217</c:v>
                </c:pt>
                <c:pt idx="4">
                  <c:v>90.940405105440945</c:v>
                </c:pt>
                <c:pt idx="5">
                  <c:v>94.223167956429037</c:v>
                </c:pt>
                <c:pt idx="6">
                  <c:v>95.049167851377774</c:v>
                </c:pt>
                <c:pt idx="7">
                  <c:v>95.197484010985249</c:v>
                </c:pt>
                <c:pt idx="8">
                  <c:v>95.254674652195447</c:v>
                </c:pt>
                <c:pt idx="9">
                  <c:v>95.250021891951135</c:v>
                </c:pt>
                <c:pt idx="10">
                  <c:v>95.201343682619665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3008"/>
        <c:axId val="51484544"/>
      </c:scatterChart>
      <c:valAx>
        <c:axId val="51483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484544"/>
        <c:crosses val="autoZero"/>
        <c:crossBetween val="midCat"/>
        <c:minorUnit val="0.05"/>
      </c:valAx>
      <c:valAx>
        <c:axId val="51484544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483008"/>
        <c:crossesAt val="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chemeClr val="accent1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83</xdr:row>
      <xdr:rowOff>19050</xdr:rowOff>
    </xdr:from>
    <xdr:to>
      <xdr:col>7</xdr:col>
      <xdr:colOff>552450</xdr:colOff>
      <xdr:row>110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504825</xdr:colOff>
      <xdr:row>25</xdr:row>
      <xdr:rowOff>19050</xdr:rowOff>
    </xdr:from>
    <xdr:to>
      <xdr:col>16</xdr:col>
      <xdr:colOff>314325</xdr:colOff>
      <xdr:row>30</xdr:row>
      <xdr:rowOff>0</xdr:rowOff>
    </xdr:to>
    <xdr:sp macro="" textlink="">
      <xdr:nvSpPr>
        <xdr:cNvPr id="19" name="Rectangle 19"/>
        <xdr:cNvSpPr>
          <a:spLocks noChangeArrowheads="1"/>
        </xdr:cNvSpPr>
      </xdr:nvSpPr>
      <xdr:spPr bwMode="auto">
        <a:xfrm>
          <a:off x="12220575" y="4419600"/>
          <a:ext cx="10287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485775</xdr:colOff>
      <xdr:row>25</xdr:row>
      <xdr:rowOff>190500</xdr:rowOff>
    </xdr:from>
    <xdr:to>
      <xdr:col>14</xdr:col>
      <xdr:colOff>285750</xdr:colOff>
      <xdr:row>31</xdr:row>
      <xdr:rowOff>9525</xdr:rowOff>
    </xdr:to>
    <xdr:sp macro="" textlink="">
      <xdr:nvSpPr>
        <xdr:cNvPr id="58" name="Rectangle 41"/>
        <xdr:cNvSpPr>
          <a:spLocks noChangeArrowheads="1"/>
        </xdr:cNvSpPr>
      </xdr:nvSpPr>
      <xdr:spPr bwMode="auto">
        <a:xfrm>
          <a:off x="10982325" y="4591050"/>
          <a:ext cx="1019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6</xdr:col>
      <xdr:colOff>436125</xdr:colOff>
      <xdr:row>12</xdr:row>
      <xdr:rowOff>104775</xdr:rowOff>
    </xdr:to>
    <xdr:pic>
      <xdr:nvPicPr>
        <xdr:cNvPr id="112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6341625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16</xdr:row>
          <xdr:rowOff>19050</xdr:rowOff>
        </xdr:from>
        <xdr:to>
          <xdr:col>16</xdr:col>
          <xdr:colOff>285750</xdr:colOff>
          <xdr:row>47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10</xdr:row>
      <xdr:rowOff>361950</xdr:rowOff>
    </xdr:from>
    <xdr:to>
      <xdr:col>9</xdr:col>
      <xdr:colOff>800099</xdr:colOff>
      <xdr:row>40</xdr:row>
      <xdr:rowOff>228600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142875</xdr:rowOff>
    </xdr:from>
    <xdr:to>
      <xdr:col>7</xdr:col>
      <xdr:colOff>609600</xdr:colOff>
      <xdr:row>0</xdr:row>
      <xdr:rowOff>1962150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42875"/>
          <a:ext cx="6438900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63200_Peak_Current_Mode_converter_desig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thcadProperties"/>
      <sheetName val="Power Loss"/>
      <sheetName val="Efficiency Summary"/>
      <sheetName val="Compensator"/>
    </sheetNames>
    <sheetDataSet>
      <sheetData sheetId="0"/>
      <sheetData sheetId="1"/>
      <sheetData sheetId="2">
        <row r="20">
          <cell r="F20">
            <v>1.6666666666666667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211111111111111111111111.vsd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O162"/>
  <sheetViews>
    <sheetView tabSelected="1" topLeftCell="A7" workbookViewId="0">
      <selection activeCell="F46" sqref="F46"/>
    </sheetView>
  </sheetViews>
  <sheetFormatPr defaultRowHeight="12.75" x14ac:dyDescent="0.2"/>
  <cols>
    <col min="1" max="1" width="34.28515625" style="1" bestFit="1" customWidth="1"/>
    <col min="2" max="2" width="11" style="1" customWidth="1"/>
    <col min="3" max="3" width="7" style="1" customWidth="1"/>
    <col min="4" max="4" width="2.5703125" style="1" customWidth="1"/>
    <col min="5" max="5" width="26" style="1" customWidth="1"/>
    <col min="6" max="6" width="7.7109375" style="1" customWidth="1"/>
    <col min="7" max="9" width="9.140625" style="1"/>
    <col min="10" max="10" width="14.28515625" style="1" bestFit="1" customWidth="1"/>
    <col min="11" max="11" width="15" style="1" bestFit="1" customWidth="1"/>
    <col min="12" max="12" width="13.7109375" style="1" bestFit="1" customWidth="1"/>
    <col min="13" max="256" width="9.140625" style="1"/>
    <col min="257" max="257" width="34.28515625" style="1" bestFit="1" customWidth="1"/>
    <col min="258" max="258" width="9.42578125" style="1" customWidth="1"/>
    <col min="259" max="259" width="7" style="1" customWidth="1"/>
    <col min="260" max="260" width="2.5703125" style="1" customWidth="1"/>
    <col min="261" max="261" width="26" style="1" customWidth="1"/>
    <col min="262" max="262" width="7.7109375" style="1" customWidth="1"/>
    <col min="263" max="265" width="9.140625" style="1"/>
    <col min="266" max="266" width="14.28515625" style="1" bestFit="1" customWidth="1"/>
    <col min="267" max="267" width="15" style="1" bestFit="1" customWidth="1"/>
    <col min="268" max="268" width="13.7109375" style="1" bestFit="1" customWidth="1"/>
    <col min="269" max="512" width="9.140625" style="1"/>
    <col min="513" max="513" width="34.28515625" style="1" bestFit="1" customWidth="1"/>
    <col min="514" max="514" width="9.42578125" style="1" customWidth="1"/>
    <col min="515" max="515" width="7" style="1" customWidth="1"/>
    <col min="516" max="516" width="2.5703125" style="1" customWidth="1"/>
    <col min="517" max="517" width="26" style="1" customWidth="1"/>
    <col min="518" max="518" width="7.7109375" style="1" customWidth="1"/>
    <col min="519" max="521" width="9.140625" style="1"/>
    <col min="522" max="522" width="14.28515625" style="1" bestFit="1" customWidth="1"/>
    <col min="523" max="523" width="15" style="1" bestFit="1" customWidth="1"/>
    <col min="524" max="524" width="13.7109375" style="1" bestFit="1" customWidth="1"/>
    <col min="525" max="768" width="9.140625" style="1"/>
    <col min="769" max="769" width="34.28515625" style="1" bestFit="1" customWidth="1"/>
    <col min="770" max="770" width="9.42578125" style="1" customWidth="1"/>
    <col min="771" max="771" width="7" style="1" customWidth="1"/>
    <col min="772" max="772" width="2.5703125" style="1" customWidth="1"/>
    <col min="773" max="773" width="26" style="1" customWidth="1"/>
    <col min="774" max="774" width="7.7109375" style="1" customWidth="1"/>
    <col min="775" max="777" width="9.140625" style="1"/>
    <col min="778" max="778" width="14.28515625" style="1" bestFit="1" customWidth="1"/>
    <col min="779" max="779" width="15" style="1" bestFit="1" customWidth="1"/>
    <col min="780" max="780" width="13.7109375" style="1" bestFit="1" customWidth="1"/>
    <col min="781" max="1024" width="9.140625" style="1"/>
    <col min="1025" max="1025" width="34.28515625" style="1" bestFit="1" customWidth="1"/>
    <col min="1026" max="1026" width="9.42578125" style="1" customWidth="1"/>
    <col min="1027" max="1027" width="7" style="1" customWidth="1"/>
    <col min="1028" max="1028" width="2.5703125" style="1" customWidth="1"/>
    <col min="1029" max="1029" width="26" style="1" customWidth="1"/>
    <col min="1030" max="1030" width="7.7109375" style="1" customWidth="1"/>
    <col min="1031" max="1033" width="9.140625" style="1"/>
    <col min="1034" max="1034" width="14.28515625" style="1" bestFit="1" customWidth="1"/>
    <col min="1035" max="1035" width="15" style="1" bestFit="1" customWidth="1"/>
    <col min="1036" max="1036" width="13.7109375" style="1" bestFit="1" customWidth="1"/>
    <col min="1037" max="1280" width="9.140625" style="1"/>
    <col min="1281" max="1281" width="34.28515625" style="1" bestFit="1" customWidth="1"/>
    <col min="1282" max="1282" width="9.42578125" style="1" customWidth="1"/>
    <col min="1283" max="1283" width="7" style="1" customWidth="1"/>
    <col min="1284" max="1284" width="2.5703125" style="1" customWidth="1"/>
    <col min="1285" max="1285" width="26" style="1" customWidth="1"/>
    <col min="1286" max="1286" width="7.7109375" style="1" customWidth="1"/>
    <col min="1287" max="1289" width="9.140625" style="1"/>
    <col min="1290" max="1290" width="14.28515625" style="1" bestFit="1" customWidth="1"/>
    <col min="1291" max="1291" width="15" style="1" bestFit="1" customWidth="1"/>
    <col min="1292" max="1292" width="13.7109375" style="1" bestFit="1" customWidth="1"/>
    <col min="1293" max="1536" width="9.140625" style="1"/>
    <col min="1537" max="1537" width="34.28515625" style="1" bestFit="1" customWidth="1"/>
    <col min="1538" max="1538" width="9.42578125" style="1" customWidth="1"/>
    <col min="1539" max="1539" width="7" style="1" customWidth="1"/>
    <col min="1540" max="1540" width="2.5703125" style="1" customWidth="1"/>
    <col min="1541" max="1541" width="26" style="1" customWidth="1"/>
    <col min="1542" max="1542" width="7.7109375" style="1" customWidth="1"/>
    <col min="1543" max="1545" width="9.140625" style="1"/>
    <col min="1546" max="1546" width="14.28515625" style="1" bestFit="1" customWidth="1"/>
    <col min="1547" max="1547" width="15" style="1" bestFit="1" customWidth="1"/>
    <col min="1548" max="1548" width="13.7109375" style="1" bestFit="1" customWidth="1"/>
    <col min="1549" max="1792" width="9.140625" style="1"/>
    <col min="1793" max="1793" width="34.28515625" style="1" bestFit="1" customWidth="1"/>
    <col min="1794" max="1794" width="9.42578125" style="1" customWidth="1"/>
    <col min="1795" max="1795" width="7" style="1" customWidth="1"/>
    <col min="1796" max="1796" width="2.5703125" style="1" customWidth="1"/>
    <col min="1797" max="1797" width="26" style="1" customWidth="1"/>
    <col min="1798" max="1798" width="7.7109375" style="1" customWidth="1"/>
    <col min="1799" max="1801" width="9.140625" style="1"/>
    <col min="1802" max="1802" width="14.28515625" style="1" bestFit="1" customWidth="1"/>
    <col min="1803" max="1803" width="15" style="1" bestFit="1" customWidth="1"/>
    <col min="1804" max="1804" width="13.7109375" style="1" bestFit="1" customWidth="1"/>
    <col min="1805" max="2048" width="9.140625" style="1"/>
    <col min="2049" max="2049" width="34.28515625" style="1" bestFit="1" customWidth="1"/>
    <col min="2050" max="2050" width="9.42578125" style="1" customWidth="1"/>
    <col min="2051" max="2051" width="7" style="1" customWidth="1"/>
    <col min="2052" max="2052" width="2.5703125" style="1" customWidth="1"/>
    <col min="2053" max="2053" width="26" style="1" customWidth="1"/>
    <col min="2054" max="2054" width="7.7109375" style="1" customWidth="1"/>
    <col min="2055" max="2057" width="9.140625" style="1"/>
    <col min="2058" max="2058" width="14.28515625" style="1" bestFit="1" customWidth="1"/>
    <col min="2059" max="2059" width="15" style="1" bestFit="1" customWidth="1"/>
    <col min="2060" max="2060" width="13.7109375" style="1" bestFit="1" customWidth="1"/>
    <col min="2061" max="2304" width="9.140625" style="1"/>
    <col min="2305" max="2305" width="34.28515625" style="1" bestFit="1" customWidth="1"/>
    <col min="2306" max="2306" width="9.42578125" style="1" customWidth="1"/>
    <col min="2307" max="2307" width="7" style="1" customWidth="1"/>
    <col min="2308" max="2308" width="2.5703125" style="1" customWidth="1"/>
    <col min="2309" max="2309" width="26" style="1" customWidth="1"/>
    <col min="2310" max="2310" width="7.7109375" style="1" customWidth="1"/>
    <col min="2311" max="2313" width="9.140625" style="1"/>
    <col min="2314" max="2314" width="14.28515625" style="1" bestFit="1" customWidth="1"/>
    <col min="2315" max="2315" width="15" style="1" bestFit="1" customWidth="1"/>
    <col min="2316" max="2316" width="13.7109375" style="1" bestFit="1" customWidth="1"/>
    <col min="2317" max="2560" width="9.140625" style="1"/>
    <col min="2561" max="2561" width="34.28515625" style="1" bestFit="1" customWidth="1"/>
    <col min="2562" max="2562" width="9.42578125" style="1" customWidth="1"/>
    <col min="2563" max="2563" width="7" style="1" customWidth="1"/>
    <col min="2564" max="2564" width="2.5703125" style="1" customWidth="1"/>
    <col min="2565" max="2565" width="26" style="1" customWidth="1"/>
    <col min="2566" max="2566" width="7.7109375" style="1" customWidth="1"/>
    <col min="2567" max="2569" width="9.140625" style="1"/>
    <col min="2570" max="2570" width="14.28515625" style="1" bestFit="1" customWidth="1"/>
    <col min="2571" max="2571" width="15" style="1" bestFit="1" customWidth="1"/>
    <col min="2572" max="2572" width="13.7109375" style="1" bestFit="1" customWidth="1"/>
    <col min="2573" max="2816" width="9.140625" style="1"/>
    <col min="2817" max="2817" width="34.28515625" style="1" bestFit="1" customWidth="1"/>
    <col min="2818" max="2818" width="9.42578125" style="1" customWidth="1"/>
    <col min="2819" max="2819" width="7" style="1" customWidth="1"/>
    <col min="2820" max="2820" width="2.5703125" style="1" customWidth="1"/>
    <col min="2821" max="2821" width="26" style="1" customWidth="1"/>
    <col min="2822" max="2822" width="7.7109375" style="1" customWidth="1"/>
    <col min="2823" max="2825" width="9.140625" style="1"/>
    <col min="2826" max="2826" width="14.28515625" style="1" bestFit="1" customWidth="1"/>
    <col min="2827" max="2827" width="15" style="1" bestFit="1" customWidth="1"/>
    <col min="2828" max="2828" width="13.7109375" style="1" bestFit="1" customWidth="1"/>
    <col min="2829" max="3072" width="9.140625" style="1"/>
    <col min="3073" max="3073" width="34.28515625" style="1" bestFit="1" customWidth="1"/>
    <col min="3074" max="3074" width="9.42578125" style="1" customWidth="1"/>
    <col min="3075" max="3075" width="7" style="1" customWidth="1"/>
    <col min="3076" max="3076" width="2.5703125" style="1" customWidth="1"/>
    <col min="3077" max="3077" width="26" style="1" customWidth="1"/>
    <col min="3078" max="3078" width="7.7109375" style="1" customWidth="1"/>
    <col min="3079" max="3081" width="9.140625" style="1"/>
    <col min="3082" max="3082" width="14.28515625" style="1" bestFit="1" customWidth="1"/>
    <col min="3083" max="3083" width="15" style="1" bestFit="1" customWidth="1"/>
    <col min="3084" max="3084" width="13.7109375" style="1" bestFit="1" customWidth="1"/>
    <col min="3085" max="3328" width="9.140625" style="1"/>
    <col min="3329" max="3329" width="34.28515625" style="1" bestFit="1" customWidth="1"/>
    <col min="3330" max="3330" width="9.42578125" style="1" customWidth="1"/>
    <col min="3331" max="3331" width="7" style="1" customWidth="1"/>
    <col min="3332" max="3332" width="2.5703125" style="1" customWidth="1"/>
    <col min="3333" max="3333" width="26" style="1" customWidth="1"/>
    <col min="3334" max="3334" width="7.7109375" style="1" customWidth="1"/>
    <col min="3335" max="3337" width="9.140625" style="1"/>
    <col min="3338" max="3338" width="14.28515625" style="1" bestFit="1" customWidth="1"/>
    <col min="3339" max="3339" width="15" style="1" bestFit="1" customWidth="1"/>
    <col min="3340" max="3340" width="13.7109375" style="1" bestFit="1" customWidth="1"/>
    <col min="3341" max="3584" width="9.140625" style="1"/>
    <col min="3585" max="3585" width="34.28515625" style="1" bestFit="1" customWidth="1"/>
    <col min="3586" max="3586" width="9.42578125" style="1" customWidth="1"/>
    <col min="3587" max="3587" width="7" style="1" customWidth="1"/>
    <col min="3588" max="3588" width="2.5703125" style="1" customWidth="1"/>
    <col min="3589" max="3589" width="26" style="1" customWidth="1"/>
    <col min="3590" max="3590" width="7.7109375" style="1" customWidth="1"/>
    <col min="3591" max="3593" width="9.140625" style="1"/>
    <col min="3594" max="3594" width="14.28515625" style="1" bestFit="1" customWidth="1"/>
    <col min="3595" max="3595" width="15" style="1" bestFit="1" customWidth="1"/>
    <col min="3596" max="3596" width="13.7109375" style="1" bestFit="1" customWidth="1"/>
    <col min="3597" max="3840" width="9.140625" style="1"/>
    <col min="3841" max="3841" width="34.28515625" style="1" bestFit="1" customWidth="1"/>
    <col min="3842" max="3842" width="9.42578125" style="1" customWidth="1"/>
    <col min="3843" max="3843" width="7" style="1" customWidth="1"/>
    <col min="3844" max="3844" width="2.5703125" style="1" customWidth="1"/>
    <col min="3845" max="3845" width="26" style="1" customWidth="1"/>
    <col min="3846" max="3846" width="7.7109375" style="1" customWidth="1"/>
    <col min="3847" max="3849" width="9.140625" style="1"/>
    <col min="3850" max="3850" width="14.28515625" style="1" bestFit="1" customWidth="1"/>
    <col min="3851" max="3851" width="15" style="1" bestFit="1" customWidth="1"/>
    <col min="3852" max="3852" width="13.7109375" style="1" bestFit="1" customWidth="1"/>
    <col min="3853" max="4096" width="9.140625" style="1"/>
    <col min="4097" max="4097" width="34.28515625" style="1" bestFit="1" customWidth="1"/>
    <col min="4098" max="4098" width="9.42578125" style="1" customWidth="1"/>
    <col min="4099" max="4099" width="7" style="1" customWidth="1"/>
    <col min="4100" max="4100" width="2.5703125" style="1" customWidth="1"/>
    <col min="4101" max="4101" width="26" style="1" customWidth="1"/>
    <col min="4102" max="4102" width="7.7109375" style="1" customWidth="1"/>
    <col min="4103" max="4105" width="9.140625" style="1"/>
    <col min="4106" max="4106" width="14.28515625" style="1" bestFit="1" customWidth="1"/>
    <col min="4107" max="4107" width="15" style="1" bestFit="1" customWidth="1"/>
    <col min="4108" max="4108" width="13.7109375" style="1" bestFit="1" customWidth="1"/>
    <col min="4109" max="4352" width="9.140625" style="1"/>
    <col min="4353" max="4353" width="34.28515625" style="1" bestFit="1" customWidth="1"/>
    <col min="4354" max="4354" width="9.42578125" style="1" customWidth="1"/>
    <col min="4355" max="4355" width="7" style="1" customWidth="1"/>
    <col min="4356" max="4356" width="2.5703125" style="1" customWidth="1"/>
    <col min="4357" max="4357" width="26" style="1" customWidth="1"/>
    <col min="4358" max="4358" width="7.7109375" style="1" customWidth="1"/>
    <col min="4359" max="4361" width="9.140625" style="1"/>
    <col min="4362" max="4362" width="14.28515625" style="1" bestFit="1" customWidth="1"/>
    <col min="4363" max="4363" width="15" style="1" bestFit="1" customWidth="1"/>
    <col min="4364" max="4364" width="13.7109375" style="1" bestFit="1" customWidth="1"/>
    <col min="4365" max="4608" width="9.140625" style="1"/>
    <col min="4609" max="4609" width="34.28515625" style="1" bestFit="1" customWidth="1"/>
    <col min="4610" max="4610" width="9.42578125" style="1" customWidth="1"/>
    <col min="4611" max="4611" width="7" style="1" customWidth="1"/>
    <col min="4612" max="4612" width="2.5703125" style="1" customWidth="1"/>
    <col min="4613" max="4613" width="26" style="1" customWidth="1"/>
    <col min="4614" max="4614" width="7.7109375" style="1" customWidth="1"/>
    <col min="4615" max="4617" width="9.140625" style="1"/>
    <col min="4618" max="4618" width="14.28515625" style="1" bestFit="1" customWidth="1"/>
    <col min="4619" max="4619" width="15" style="1" bestFit="1" customWidth="1"/>
    <col min="4620" max="4620" width="13.7109375" style="1" bestFit="1" customWidth="1"/>
    <col min="4621" max="4864" width="9.140625" style="1"/>
    <col min="4865" max="4865" width="34.28515625" style="1" bestFit="1" customWidth="1"/>
    <col min="4866" max="4866" width="9.42578125" style="1" customWidth="1"/>
    <col min="4867" max="4867" width="7" style="1" customWidth="1"/>
    <col min="4868" max="4868" width="2.5703125" style="1" customWidth="1"/>
    <col min="4869" max="4869" width="26" style="1" customWidth="1"/>
    <col min="4870" max="4870" width="7.7109375" style="1" customWidth="1"/>
    <col min="4871" max="4873" width="9.140625" style="1"/>
    <col min="4874" max="4874" width="14.28515625" style="1" bestFit="1" customWidth="1"/>
    <col min="4875" max="4875" width="15" style="1" bestFit="1" customWidth="1"/>
    <col min="4876" max="4876" width="13.7109375" style="1" bestFit="1" customWidth="1"/>
    <col min="4877" max="5120" width="9.140625" style="1"/>
    <col min="5121" max="5121" width="34.28515625" style="1" bestFit="1" customWidth="1"/>
    <col min="5122" max="5122" width="9.42578125" style="1" customWidth="1"/>
    <col min="5123" max="5123" width="7" style="1" customWidth="1"/>
    <col min="5124" max="5124" width="2.5703125" style="1" customWidth="1"/>
    <col min="5125" max="5125" width="26" style="1" customWidth="1"/>
    <col min="5126" max="5126" width="7.7109375" style="1" customWidth="1"/>
    <col min="5127" max="5129" width="9.140625" style="1"/>
    <col min="5130" max="5130" width="14.28515625" style="1" bestFit="1" customWidth="1"/>
    <col min="5131" max="5131" width="15" style="1" bestFit="1" customWidth="1"/>
    <col min="5132" max="5132" width="13.7109375" style="1" bestFit="1" customWidth="1"/>
    <col min="5133" max="5376" width="9.140625" style="1"/>
    <col min="5377" max="5377" width="34.28515625" style="1" bestFit="1" customWidth="1"/>
    <col min="5378" max="5378" width="9.42578125" style="1" customWidth="1"/>
    <col min="5379" max="5379" width="7" style="1" customWidth="1"/>
    <col min="5380" max="5380" width="2.5703125" style="1" customWidth="1"/>
    <col min="5381" max="5381" width="26" style="1" customWidth="1"/>
    <col min="5382" max="5382" width="7.7109375" style="1" customWidth="1"/>
    <col min="5383" max="5385" width="9.140625" style="1"/>
    <col min="5386" max="5386" width="14.28515625" style="1" bestFit="1" customWidth="1"/>
    <col min="5387" max="5387" width="15" style="1" bestFit="1" customWidth="1"/>
    <col min="5388" max="5388" width="13.7109375" style="1" bestFit="1" customWidth="1"/>
    <col min="5389" max="5632" width="9.140625" style="1"/>
    <col min="5633" max="5633" width="34.28515625" style="1" bestFit="1" customWidth="1"/>
    <col min="5634" max="5634" width="9.42578125" style="1" customWidth="1"/>
    <col min="5635" max="5635" width="7" style="1" customWidth="1"/>
    <col min="5636" max="5636" width="2.5703125" style="1" customWidth="1"/>
    <col min="5637" max="5637" width="26" style="1" customWidth="1"/>
    <col min="5638" max="5638" width="7.7109375" style="1" customWidth="1"/>
    <col min="5639" max="5641" width="9.140625" style="1"/>
    <col min="5642" max="5642" width="14.28515625" style="1" bestFit="1" customWidth="1"/>
    <col min="5643" max="5643" width="15" style="1" bestFit="1" customWidth="1"/>
    <col min="5644" max="5644" width="13.7109375" style="1" bestFit="1" customWidth="1"/>
    <col min="5645" max="5888" width="9.140625" style="1"/>
    <col min="5889" max="5889" width="34.28515625" style="1" bestFit="1" customWidth="1"/>
    <col min="5890" max="5890" width="9.42578125" style="1" customWidth="1"/>
    <col min="5891" max="5891" width="7" style="1" customWidth="1"/>
    <col min="5892" max="5892" width="2.5703125" style="1" customWidth="1"/>
    <col min="5893" max="5893" width="26" style="1" customWidth="1"/>
    <col min="5894" max="5894" width="7.7109375" style="1" customWidth="1"/>
    <col min="5895" max="5897" width="9.140625" style="1"/>
    <col min="5898" max="5898" width="14.28515625" style="1" bestFit="1" customWidth="1"/>
    <col min="5899" max="5899" width="15" style="1" bestFit="1" customWidth="1"/>
    <col min="5900" max="5900" width="13.7109375" style="1" bestFit="1" customWidth="1"/>
    <col min="5901" max="6144" width="9.140625" style="1"/>
    <col min="6145" max="6145" width="34.28515625" style="1" bestFit="1" customWidth="1"/>
    <col min="6146" max="6146" width="9.42578125" style="1" customWidth="1"/>
    <col min="6147" max="6147" width="7" style="1" customWidth="1"/>
    <col min="6148" max="6148" width="2.5703125" style="1" customWidth="1"/>
    <col min="6149" max="6149" width="26" style="1" customWidth="1"/>
    <col min="6150" max="6150" width="7.7109375" style="1" customWidth="1"/>
    <col min="6151" max="6153" width="9.140625" style="1"/>
    <col min="6154" max="6154" width="14.28515625" style="1" bestFit="1" customWidth="1"/>
    <col min="6155" max="6155" width="15" style="1" bestFit="1" customWidth="1"/>
    <col min="6156" max="6156" width="13.7109375" style="1" bestFit="1" customWidth="1"/>
    <col min="6157" max="6400" width="9.140625" style="1"/>
    <col min="6401" max="6401" width="34.28515625" style="1" bestFit="1" customWidth="1"/>
    <col min="6402" max="6402" width="9.42578125" style="1" customWidth="1"/>
    <col min="6403" max="6403" width="7" style="1" customWidth="1"/>
    <col min="6404" max="6404" width="2.5703125" style="1" customWidth="1"/>
    <col min="6405" max="6405" width="26" style="1" customWidth="1"/>
    <col min="6406" max="6406" width="7.7109375" style="1" customWidth="1"/>
    <col min="6407" max="6409" width="9.140625" style="1"/>
    <col min="6410" max="6410" width="14.28515625" style="1" bestFit="1" customWidth="1"/>
    <col min="6411" max="6411" width="15" style="1" bestFit="1" customWidth="1"/>
    <col min="6412" max="6412" width="13.7109375" style="1" bestFit="1" customWidth="1"/>
    <col min="6413" max="6656" width="9.140625" style="1"/>
    <col min="6657" max="6657" width="34.28515625" style="1" bestFit="1" customWidth="1"/>
    <col min="6658" max="6658" width="9.42578125" style="1" customWidth="1"/>
    <col min="6659" max="6659" width="7" style="1" customWidth="1"/>
    <col min="6660" max="6660" width="2.5703125" style="1" customWidth="1"/>
    <col min="6661" max="6661" width="26" style="1" customWidth="1"/>
    <col min="6662" max="6662" width="7.7109375" style="1" customWidth="1"/>
    <col min="6663" max="6665" width="9.140625" style="1"/>
    <col min="6666" max="6666" width="14.28515625" style="1" bestFit="1" customWidth="1"/>
    <col min="6667" max="6667" width="15" style="1" bestFit="1" customWidth="1"/>
    <col min="6668" max="6668" width="13.7109375" style="1" bestFit="1" customWidth="1"/>
    <col min="6669" max="6912" width="9.140625" style="1"/>
    <col min="6913" max="6913" width="34.28515625" style="1" bestFit="1" customWidth="1"/>
    <col min="6914" max="6914" width="9.42578125" style="1" customWidth="1"/>
    <col min="6915" max="6915" width="7" style="1" customWidth="1"/>
    <col min="6916" max="6916" width="2.5703125" style="1" customWidth="1"/>
    <col min="6917" max="6917" width="26" style="1" customWidth="1"/>
    <col min="6918" max="6918" width="7.7109375" style="1" customWidth="1"/>
    <col min="6919" max="6921" width="9.140625" style="1"/>
    <col min="6922" max="6922" width="14.28515625" style="1" bestFit="1" customWidth="1"/>
    <col min="6923" max="6923" width="15" style="1" bestFit="1" customWidth="1"/>
    <col min="6924" max="6924" width="13.7109375" style="1" bestFit="1" customWidth="1"/>
    <col min="6925" max="7168" width="9.140625" style="1"/>
    <col min="7169" max="7169" width="34.28515625" style="1" bestFit="1" customWidth="1"/>
    <col min="7170" max="7170" width="9.42578125" style="1" customWidth="1"/>
    <col min="7171" max="7171" width="7" style="1" customWidth="1"/>
    <col min="7172" max="7172" width="2.5703125" style="1" customWidth="1"/>
    <col min="7173" max="7173" width="26" style="1" customWidth="1"/>
    <col min="7174" max="7174" width="7.7109375" style="1" customWidth="1"/>
    <col min="7175" max="7177" width="9.140625" style="1"/>
    <col min="7178" max="7178" width="14.28515625" style="1" bestFit="1" customWidth="1"/>
    <col min="7179" max="7179" width="15" style="1" bestFit="1" customWidth="1"/>
    <col min="7180" max="7180" width="13.7109375" style="1" bestFit="1" customWidth="1"/>
    <col min="7181" max="7424" width="9.140625" style="1"/>
    <col min="7425" max="7425" width="34.28515625" style="1" bestFit="1" customWidth="1"/>
    <col min="7426" max="7426" width="9.42578125" style="1" customWidth="1"/>
    <col min="7427" max="7427" width="7" style="1" customWidth="1"/>
    <col min="7428" max="7428" width="2.5703125" style="1" customWidth="1"/>
    <col min="7429" max="7429" width="26" style="1" customWidth="1"/>
    <col min="7430" max="7430" width="7.7109375" style="1" customWidth="1"/>
    <col min="7431" max="7433" width="9.140625" style="1"/>
    <col min="7434" max="7434" width="14.28515625" style="1" bestFit="1" customWidth="1"/>
    <col min="7435" max="7435" width="15" style="1" bestFit="1" customWidth="1"/>
    <col min="7436" max="7436" width="13.7109375" style="1" bestFit="1" customWidth="1"/>
    <col min="7437" max="7680" width="9.140625" style="1"/>
    <col min="7681" max="7681" width="34.28515625" style="1" bestFit="1" customWidth="1"/>
    <col min="7682" max="7682" width="9.42578125" style="1" customWidth="1"/>
    <col min="7683" max="7683" width="7" style="1" customWidth="1"/>
    <col min="7684" max="7684" width="2.5703125" style="1" customWidth="1"/>
    <col min="7685" max="7685" width="26" style="1" customWidth="1"/>
    <col min="7686" max="7686" width="7.7109375" style="1" customWidth="1"/>
    <col min="7687" max="7689" width="9.140625" style="1"/>
    <col min="7690" max="7690" width="14.28515625" style="1" bestFit="1" customWidth="1"/>
    <col min="7691" max="7691" width="15" style="1" bestFit="1" customWidth="1"/>
    <col min="7692" max="7692" width="13.7109375" style="1" bestFit="1" customWidth="1"/>
    <col min="7693" max="7936" width="9.140625" style="1"/>
    <col min="7937" max="7937" width="34.28515625" style="1" bestFit="1" customWidth="1"/>
    <col min="7938" max="7938" width="9.42578125" style="1" customWidth="1"/>
    <col min="7939" max="7939" width="7" style="1" customWidth="1"/>
    <col min="7940" max="7940" width="2.5703125" style="1" customWidth="1"/>
    <col min="7941" max="7941" width="26" style="1" customWidth="1"/>
    <col min="7942" max="7942" width="7.7109375" style="1" customWidth="1"/>
    <col min="7943" max="7945" width="9.140625" style="1"/>
    <col min="7946" max="7946" width="14.28515625" style="1" bestFit="1" customWidth="1"/>
    <col min="7947" max="7947" width="15" style="1" bestFit="1" customWidth="1"/>
    <col min="7948" max="7948" width="13.7109375" style="1" bestFit="1" customWidth="1"/>
    <col min="7949" max="8192" width="9.140625" style="1"/>
    <col min="8193" max="8193" width="34.28515625" style="1" bestFit="1" customWidth="1"/>
    <col min="8194" max="8194" width="9.42578125" style="1" customWidth="1"/>
    <col min="8195" max="8195" width="7" style="1" customWidth="1"/>
    <col min="8196" max="8196" width="2.5703125" style="1" customWidth="1"/>
    <col min="8197" max="8197" width="26" style="1" customWidth="1"/>
    <col min="8198" max="8198" width="7.7109375" style="1" customWidth="1"/>
    <col min="8199" max="8201" width="9.140625" style="1"/>
    <col min="8202" max="8202" width="14.28515625" style="1" bestFit="1" customWidth="1"/>
    <col min="8203" max="8203" width="15" style="1" bestFit="1" customWidth="1"/>
    <col min="8204" max="8204" width="13.7109375" style="1" bestFit="1" customWidth="1"/>
    <col min="8205" max="8448" width="9.140625" style="1"/>
    <col min="8449" max="8449" width="34.28515625" style="1" bestFit="1" customWidth="1"/>
    <col min="8450" max="8450" width="9.42578125" style="1" customWidth="1"/>
    <col min="8451" max="8451" width="7" style="1" customWidth="1"/>
    <col min="8452" max="8452" width="2.5703125" style="1" customWidth="1"/>
    <col min="8453" max="8453" width="26" style="1" customWidth="1"/>
    <col min="8454" max="8454" width="7.7109375" style="1" customWidth="1"/>
    <col min="8455" max="8457" width="9.140625" style="1"/>
    <col min="8458" max="8458" width="14.28515625" style="1" bestFit="1" customWidth="1"/>
    <col min="8459" max="8459" width="15" style="1" bestFit="1" customWidth="1"/>
    <col min="8460" max="8460" width="13.7109375" style="1" bestFit="1" customWidth="1"/>
    <col min="8461" max="8704" width="9.140625" style="1"/>
    <col min="8705" max="8705" width="34.28515625" style="1" bestFit="1" customWidth="1"/>
    <col min="8706" max="8706" width="9.42578125" style="1" customWidth="1"/>
    <col min="8707" max="8707" width="7" style="1" customWidth="1"/>
    <col min="8708" max="8708" width="2.5703125" style="1" customWidth="1"/>
    <col min="8709" max="8709" width="26" style="1" customWidth="1"/>
    <col min="8710" max="8710" width="7.7109375" style="1" customWidth="1"/>
    <col min="8711" max="8713" width="9.140625" style="1"/>
    <col min="8714" max="8714" width="14.28515625" style="1" bestFit="1" customWidth="1"/>
    <col min="8715" max="8715" width="15" style="1" bestFit="1" customWidth="1"/>
    <col min="8716" max="8716" width="13.7109375" style="1" bestFit="1" customWidth="1"/>
    <col min="8717" max="8960" width="9.140625" style="1"/>
    <col min="8961" max="8961" width="34.28515625" style="1" bestFit="1" customWidth="1"/>
    <col min="8962" max="8962" width="9.42578125" style="1" customWidth="1"/>
    <col min="8963" max="8963" width="7" style="1" customWidth="1"/>
    <col min="8964" max="8964" width="2.5703125" style="1" customWidth="1"/>
    <col min="8965" max="8965" width="26" style="1" customWidth="1"/>
    <col min="8966" max="8966" width="7.7109375" style="1" customWidth="1"/>
    <col min="8967" max="8969" width="9.140625" style="1"/>
    <col min="8970" max="8970" width="14.28515625" style="1" bestFit="1" customWidth="1"/>
    <col min="8971" max="8971" width="15" style="1" bestFit="1" customWidth="1"/>
    <col min="8972" max="8972" width="13.7109375" style="1" bestFit="1" customWidth="1"/>
    <col min="8973" max="9216" width="9.140625" style="1"/>
    <col min="9217" max="9217" width="34.28515625" style="1" bestFit="1" customWidth="1"/>
    <col min="9218" max="9218" width="9.42578125" style="1" customWidth="1"/>
    <col min="9219" max="9219" width="7" style="1" customWidth="1"/>
    <col min="9220" max="9220" width="2.5703125" style="1" customWidth="1"/>
    <col min="9221" max="9221" width="26" style="1" customWidth="1"/>
    <col min="9222" max="9222" width="7.7109375" style="1" customWidth="1"/>
    <col min="9223" max="9225" width="9.140625" style="1"/>
    <col min="9226" max="9226" width="14.28515625" style="1" bestFit="1" customWidth="1"/>
    <col min="9227" max="9227" width="15" style="1" bestFit="1" customWidth="1"/>
    <col min="9228" max="9228" width="13.7109375" style="1" bestFit="1" customWidth="1"/>
    <col min="9229" max="9472" width="9.140625" style="1"/>
    <col min="9473" max="9473" width="34.28515625" style="1" bestFit="1" customWidth="1"/>
    <col min="9474" max="9474" width="9.42578125" style="1" customWidth="1"/>
    <col min="9475" max="9475" width="7" style="1" customWidth="1"/>
    <col min="9476" max="9476" width="2.5703125" style="1" customWidth="1"/>
    <col min="9477" max="9477" width="26" style="1" customWidth="1"/>
    <col min="9478" max="9478" width="7.7109375" style="1" customWidth="1"/>
    <col min="9479" max="9481" width="9.140625" style="1"/>
    <col min="9482" max="9482" width="14.28515625" style="1" bestFit="1" customWidth="1"/>
    <col min="9483" max="9483" width="15" style="1" bestFit="1" customWidth="1"/>
    <col min="9484" max="9484" width="13.7109375" style="1" bestFit="1" customWidth="1"/>
    <col min="9485" max="9728" width="9.140625" style="1"/>
    <col min="9729" max="9729" width="34.28515625" style="1" bestFit="1" customWidth="1"/>
    <col min="9730" max="9730" width="9.42578125" style="1" customWidth="1"/>
    <col min="9731" max="9731" width="7" style="1" customWidth="1"/>
    <col min="9732" max="9732" width="2.5703125" style="1" customWidth="1"/>
    <col min="9733" max="9733" width="26" style="1" customWidth="1"/>
    <col min="9734" max="9734" width="7.7109375" style="1" customWidth="1"/>
    <col min="9735" max="9737" width="9.140625" style="1"/>
    <col min="9738" max="9738" width="14.28515625" style="1" bestFit="1" customWidth="1"/>
    <col min="9739" max="9739" width="15" style="1" bestFit="1" customWidth="1"/>
    <col min="9740" max="9740" width="13.7109375" style="1" bestFit="1" customWidth="1"/>
    <col min="9741" max="9984" width="9.140625" style="1"/>
    <col min="9985" max="9985" width="34.28515625" style="1" bestFit="1" customWidth="1"/>
    <col min="9986" max="9986" width="9.42578125" style="1" customWidth="1"/>
    <col min="9987" max="9987" width="7" style="1" customWidth="1"/>
    <col min="9988" max="9988" width="2.5703125" style="1" customWidth="1"/>
    <col min="9989" max="9989" width="26" style="1" customWidth="1"/>
    <col min="9990" max="9990" width="7.7109375" style="1" customWidth="1"/>
    <col min="9991" max="9993" width="9.140625" style="1"/>
    <col min="9994" max="9994" width="14.28515625" style="1" bestFit="1" customWidth="1"/>
    <col min="9995" max="9995" width="15" style="1" bestFit="1" customWidth="1"/>
    <col min="9996" max="9996" width="13.7109375" style="1" bestFit="1" customWidth="1"/>
    <col min="9997" max="10240" width="9.140625" style="1"/>
    <col min="10241" max="10241" width="34.28515625" style="1" bestFit="1" customWidth="1"/>
    <col min="10242" max="10242" width="9.42578125" style="1" customWidth="1"/>
    <col min="10243" max="10243" width="7" style="1" customWidth="1"/>
    <col min="10244" max="10244" width="2.5703125" style="1" customWidth="1"/>
    <col min="10245" max="10245" width="26" style="1" customWidth="1"/>
    <col min="10246" max="10246" width="7.7109375" style="1" customWidth="1"/>
    <col min="10247" max="10249" width="9.140625" style="1"/>
    <col min="10250" max="10250" width="14.28515625" style="1" bestFit="1" customWidth="1"/>
    <col min="10251" max="10251" width="15" style="1" bestFit="1" customWidth="1"/>
    <col min="10252" max="10252" width="13.7109375" style="1" bestFit="1" customWidth="1"/>
    <col min="10253" max="10496" width="9.140625" style="1"/>
    <col min="10497" max="10497" width="34.28515625" style="1" bestFit="1" customWidth="1"/>
    <col min="10498" max="10498" width="9.42578125" style="1" customWidth="1"/>
    <col min="10499" max="10499" width="7" style="1" customWidth="1"/>
    <col min="10500" max="10500" width="2.5703125" style="1" customWidth="1"/>
    <col min="10501" max="10501" width="26" style="1" customWidth="1"/>
    <col min="10502" max="10502" width="7.7109375" style="1" customWidth="1"/>
    <col min="10503" max="10505" width="9.140625" style="1"/>
    <col min="10506" max="10506" width="14.28515625" style="1" bestFit="1" customWidth="1"/>
    <col min="10507" max="10507" width="15" style="1" bestFit="1" customWidth="1"/>
    <col min="10508" max="10508" width="13.7109375" style="1" bestFit="1" customWidth="1"/>
    <col min="10509" max="10752" width="9.140625" style="1"/>
    <col min="10753" max="10753" width="34.28515625" style="1" bestFit="1" customWidth="1"/>
    <col min="10754" max="10754" width="9.42578125" style="1" customWidth="1"/>
    <col min="10755" max="10755" width="7" style="1" customWidth="1"/>
    <col min="10756" max="10756" width="2.5703125" style="1" customWidth="1"/>
    <col min="10757" max="10757" width="26" style="1" customWidth="1"/>
    <col min="10758" max="10758" width="7.7109375" style="1" customWidth="1"/>
    <col min="10759" max="10761" width="9.140625" style="1"/>
    <col min="10762" max="10762" width="14.28515625" style="1" bestFit="1" customWidth="1"/>
    <col min="10763" max="10763" width="15" style="1" bestFit="1" customWidth="1"/>
    <col min="10764" max="10764" width="13.7109375" style="1" bestFit="1" customWidth="1"/>
    <col min="10765" max="11008" width="9.140625" style="1"/>
    <col min="11009" max="11009" width="34.28515625" style="1" bestFit="1" customWidth="1"/>
    <col min="11010" max="11010" width="9.42578125" style="1" customWidth="1"/>
    <col min="11011" max="11011" width="7" style="1" customWidth="1"/>
    <col min="11012" max="11012" width="2.5703125" style="1" customWidth="1"/>
    <col min="11013" max="11013" width="26" style="1" customWidth="1"/>
    <col min="11014" max="11014" width="7.7109375" style="1" customWidth="1"/>
    <col min="11015" max="11017" width="9.140625" style="1"/>
    <col min="11018" max="11018" width="14.28515625" style="1" bestFit="1" customWidth="1"/>
    <col min="11019" max="11019" width="15" style="1" bestFit="1" customWidth="1"/>
    <col min="11020" max="11020" width="13.7109375" style="1" bestFit="1" customWidth="1"/>
    <col min="11021" max="11264" width="9.140625" style="1"/>
    <col min="11265" max="11265" width="34.28515625" style="1" bestFit="1" customWidth="1"/>
    <col min="11266" max="11266" width="9.42578125" style="1" customWidth="1"/>
    <col min="11267" max="11267" width="7" style="1" customWidth="1"/>
    <col min="11268" max="11268" width="2.5703125" style="1" customWidth="1"/>
    <col min="11269" max="11269" width="26" style="1" customWidth="1"/>
    <col min="11270" max="11270" width="7.7109375" style="1" customWidth="1"/>
    <col min="11271" max="11273" width="9.140625" style="1"/>
    <col min="11274" max="11274" width="14.28515625" style="1" bestFit="1" customWidth="1"/>
    <col min="11275" max="11275" width="15" style="1" bestFit="1" customWidth="1"/>
    <col min="11276" max="11276" width="13.7109375" style="1" bestFit="1" customWidth="1"/>
    <col min="11277" max="11520" width="9.140625" style="1"/>
    <col min="11521" max="11521" width="34.28515625" style="1" bestFit="1" customWidth="1"/>
    <col min="11522" max="11522" width="9.42578125" style="1" customWidth="1"/>
    <col min="11523" max="11523" width="7" style="1" customWidth="1"/>
    <col min="11524" max="11524" width="2.5703125" style="1" customWidth="1"/>
    <col min="11525" max="11525" width="26" style="1" customWidth="1"/>
    <col min="11526" max="11526" width="7.7109375" style="1" customWidth="1"/>
    <col min="11527" max="11529" width="9.140625" style="1"/>
    <col min="11530" max="11530" width="14.28515625" style="1" bestFit="1" customWidth="1"/>
    <col min="11531" max="11531" width="15" style="1" bestFit="1" customWidth="1"/>
    <col min="11532" max="11532" width="13.7109375" style="1" bestFit="1" customWidth="1"/>
    <col min="11533" max="11776" width="9.140625" style="1"/>
    <col min="11777" max="11777" width="34.28515625" style="1" bestFit="1" customWidth="1"/>
    <col min="11778" max="11778" width="9.42578125" style="1" customWidth="1"/>
    <col min="11779" max="11779" width="7" style="1" customWidth="1"/>
    <col min="11780" max="11780" width="2.5703125" style="1" customWidth="1"/>
    <col min="11781" max="11781" width="26" style="1" customWidth="1"/>
    <col min="11782" max="11782" width="7.7109375" style="1" customWidth="1"/>
    <col min="11783" max="11785" width="9.140625" style="1"/>
    <col min="11786" max="11786" width="14.28515625" style="1" bestFit="1" customWidth="1"/>
    <col min="11787" max="11787" width="15" style="1" bestFit="1" customWidth="1"/>
    <col min="11788" max="11788" width="13.7109375" style="1" bestFit="1" customWidth="1"/>
    <col min="11789" max="12032" width="9.140625" style="1"/>
    <col min="12033" max="12033" width="34.28515625" style="1" bestFit="1" customWidth="1"/>
    <col min="12034" max="12034" width="9.42578125" style="1" customWidth="1"/>
    <col min="12035" max="12035" width="7" style="1" customWidth="1"/>
    <col min="12036" max="12036" width="2.5703125" style="1" customWidth="1"/>
    <col min="12037" max="12037" width="26" style="1" customWidth="1"/>
    <col min="12038" max="12038" width="7.7109375" style="1" customWidth="1"/>
    <col min="12039" max="12041" width="9.140625" style="1"/>
    <col min="12042" max="12042" width="14.28515625" style="1" bestFit="1" customWidth="1"/>
    <col min="12043" max="12043" width="15" style="1" bestFit="1" customWidth="1"/>
    <col min="12044" max="12044" width="13.7109375" style="1" bestFit="1" customWidth="1"/>
    <col min="12045" max="12288" width="9.140625" style="1"/>
    <col min="12289" max="12289" width="34.28515625" style="1" bestFit="1" customWidth="1"/>
    <col min="12290" max="12290" width="9.42578125" style="1" customWidth="1"/>
    <col min="12291" max="12291" width="7" style="1" customWidth="1"/>
    <col min="12292" max="12292" width="2.5703125" style="1" customWidth="1"/>
    <col min="12293" max="12293" width="26" style="1" customWidth="1"/>
    <col min="12294" max="12294" width="7.7109375" style="1" customWidth="1"/>
    <col min="12295" max="12297" width="9.140625" style="1"/>
    <col min="12298" max="12298" width="14.28515625" style="1" bestFit="1" customWidth="1"/>
    <col min="12299" max="12299" width="15" style="1" bestFit="1" customWidth="1"/>
    <col min="12300" max="12300" width="13.7109375" style="1" bestFit="1" customWidth="1"/>
    <col min="12301" max="12544" width="9.140625" style="1"/>
    <col min="12545" max="12545" width="34.28515625" style="1" bestFit="1" customWidth="1"/>
    <col min="12546" max="12546" width="9.42578125" style="1" customWidth="1"/>
    <col min="12547" max="12547" width="7" style="1" customWidth="1"/>
    <col min="12548" max="12548" width="2.5703125" style="1" customWidth="1"/>
    <col min="12549" max="12549" width="26" style="1" customWidth="1"/>
    <col min="12550" max="12550" width="7.7109375" style="1" customWidth="1"/>
    <col min="12551" max="12553" width="9.140625" style="1"/>
    <col min="12554" max="12554" width="14.28515625" style="1" bestFit="1" customWidth="1"/>
    <col min="12555" max="12555" width="15" style="1" bestFit="1" customWidth="1"/>
    <col min="12556" max="12556" width="13.7109375" style="1" bestFit="1" customWidth="1"/>
    <col min="12557" max="12800" width="9.140625" style="1"/>
    <col min="12801" max="12801" width="34.28515625" style="1" bestFit="1" customWidth="1"/>
    <col min="12802" max="12802" width="9.42578125" style="1" customWidth="1"/>
    <col min="12803" max="12803" width="7" style="1" customWidth="1"/>
    <col min="12804" max="12804" width="2.5703125" style="1" customWidth="1"/>
    <col min="12805" max="12805" width="26" style="1" customWidth="1"/>
    <col min="12806" max="12806" width="7.7109375" style="1" customWidth="1"/>
    <col min="12807" max="12809" width="9.140625" style="1"/>
    <col min="12810" max="12810" width="14.28515625" style="1" bestFit="1" customWidth="1"/>
    <col min="12811" max="12811" width="15" style="1" bestFit="1" customWidth="1"/>
    <col min="12812" max="12812" width="13.7109375" style="1" bestFit="1" customWidth="1"/>
    <col min="12813" max="13056" width="9.140625" style="1"/>
    <col min="13057" max="13057" width="34.28515625" style="1" bestFit="1" customWidth="1"/>
    <col min="13058" max="13058" width="9.42578125" style="1" customWidth="1"/>
    <col min="13059" max="13059" width="7" style="1" customWidth="1"/>
    <col min="13060" max="13060" width="2.5703125" style="1" customWidth="1"/>
    <col min="13061" max="13061" width="26" style="1" customWidth="1"/>
    <col min="13062" max="13062" width="7.7109375" style="1" customWidth="1"/>
    <col min="13063" max="13065" width="9.140625" style="1"/>
    <col min="13066" max="13066" width="14.28515625" style="1" bestFit="1" customWidth="1"/>
    <col min="13067" max="13067" width="15" style="1" bestFit="1" customWidth="1"/>
    <col min="13068" max="13068" width="13.7109375" style="1" bestFit="1" customWidth="1"/>
    <col min="13069" max="13312" width="9.140625" style="1"/>
    <col min="13313" max="13313" width="34.28515625" style="1" bestFit="1" customWidth="1"/>
    <col min="13314" max="13314" width="9.42578125" style="1" customWidth="1"/>
    <col min="13315" max="13315" width="7" style="1" customWidth="1"/>
    <col min="13316" max="13316" width="2.5703125" style="1" customWidth="1"/>
    <col min="13317" max="13317" width="26" style="1" customWidth="1"/>
    <col min="13318" max="13318" width="7.7109375" style="1" customWidth="1"/>
    <col min="13319" max="13321" width="9.140625" style="1"/>
    <col min="13322" max="13322" width="14.28515625" style="1" bestFit="1" customWidth="1"/>
    <col min="13323" max="13323" width="15" style="1" bestFit="1" customWidth="1"/>
    <col min="13324" max="13324" width="13.7109375" style="1" bestFit="1" customWidth="1"/>
    <col min="13325" max="13568" width="9.140625" style="1"/>
    <col min="13569" max="13569" width="34.28515625" style="1" bestFit="1" customWidth="1"/>
    <col min="13570" max="13570" width="9.42578125" style="1" customWidth="1"/>
    <col min="13571" max="13571" width="7" style="1" customWidth="1"/>
    <col min="13572" max="13572" width="2.5703125" style="1" customWidth="1"/>
    <col min="13573" max="13573" width="26" style="1" customWidth="1"/>
    <col min="13574" max="13574" width="7.7109375" style="1" customWidth="1"/>
    <col min="13575" max="13577" width="9.140625" style="1"/>
    <col min="13578" max="13578" width="14.28515625" style="1" bestFit="1" customWidth="1"/>
    <col min="13579" max="13579" width="15" style="1" bestFit="1" customWidth="1"/>
    <col min="13580" max="13580" width="13.7109375" style="1" bestFit="1" customWidth="1"/>
    <col min="13581" max="13824" width="9.140625" style="1"/>
    <col min="13825" max="13825" width="34.28515625" style="1" bestFit="1" customWidth="1"/>
    <col min="13826" max="13826" width="9.42578125" style="1" customWidth="1"/>
    <col min="13827" max="13827" width="7" style="1" customWidth="1"/>
    <col min="13828" max="13828" width="2.5703125" style="1" customWidth="1"/>
    <col min="13829" max="13829" width="26" style="1" customWidth="1"/>
    <col min="13830" max="13830" width="7.7109375" style="1" customWidth="1"/>
    <col min="13831" max="13833" width="9.140625" style="1"/>
    <col min="13834" max="13834" width="14.28515625" style="1" bestFit="1" customWidth="1"/>
    <col min="13835" max="13835" width="15" style="1" bestFit="1" customWidth="1"/>
    <col min="13836" max="13836" width="13.7109375" style="1" bestFit="1" customWidth="1"/>
    <col min="13837" max="14080" width="9.140625" style="1"/>
    <col min="14081" max="14081" width="34.28515625" style="1" bestFit="1" customWidth="1"/>
    <col min="14082" max="14082" width="9.42578125" style="1" customWidth="1"/>
    <col min="14083" max="14083" width="7" style="1" customWidth="1"/>
    <col min="14084" max="14084" width="2.5703125" style="1" customWidth="1"/>
    <col min="14085" max="14085" width="26" style="1" customWidth="1"/>
    <col min="14086" max="14086" width="7.7109375" style="1" customWidth="1"/>
    <col min="14087" max="14089" width="9.140625" style="1"/>
    <col min="14090" max="14090" width="14.28515625" style="1" bestFit="1" customWidth="1"/>
    <col min="14091" max="14091" width="15" style="1" bestFit="1" customWidth="1"/>
    <col min="14092" max="14092" width="13.7109375" style="1" bestFit="1" customWidth="1"/>
    <col min="14093" max="14336" width="9.140625" style="1"/>
    <col min="14337" max="14337" width="34.28515625" style="1" bestFit="1" customWidth="1"/>
    <col min="14338" max="14338" width="9.42578125" style="1" customWidth="1"/>
    <col min="14339" max="14339" width="7" style="1" customWidth="1"/>
    <col min="14340" max="14340" width="2.5703125" style="1" customWidth="1"/>
    <col min="14341" max="14341" width="26" style="1" customWidth="1"/>
    <col min="14342" max="14342" width="7.7109375" style="1" customWidth="1"/>
    <col min="14343" max="14345" width="9.140625" style="1"/>
    <col min="14346" max="14346" width="14.28515625" style="1" bestFit="1" customWidth="1"/>
    <col min="14347" max="14347" width="15" style="1" bestFit="1" customWidth="1"/>
    <col min="14348" max="14348" width="13.7109375" style="1" bestFit="1" customWidth="1"/>
    <col min="14349" max="14592" width="9.140625" style="1"/>
    <col min="14593" max="14593" width="34.28515625" style="1" bestFit="1" customWidth="1"/>
    <col min="14594" max="14594" width="9.42578125" style="1" customWidth="1"/>
    <col min="14595" max="14595" width="7" style="1" customWidth="1"/>
    <col min="14596" max="14596" width="2.5703125" style="1" customWidth="1"/>
    <col min="14597" max="14597" width="26" style="1" customWidth="1"/>
    <col min="14598" max="14598" width="7.7109375" style="1" customWidth="1"/>
    <col min="14599" max="14601" width="9.140625" style="1"/>
    <col min="14602" max="14602" width="14.28515625" style="1" bestFit="1" customWidth="1"/>
    <col min="14603" max="14603" width="15" style="1" bestFit="1" customWidth="1"/>
    <col min="14604" max="14604" width="13.7109375" style="1" bestFit="1" customWidth="1"/>
    <col min="14605" max="14848" width="9.140625" style="1"/>
    <col min="14849" max="14849" width="34.28515625" style="1" bestFit="1" customWidth="1"/>
    <col min="14850" max="14850" width="9.42578125" style="1" customWidth="1"/>
    <col min="14851" max="14851" width="7" style="1" customWidth="1"/>
    <col min="14852" max="14852" width="2.5703125" style="1" customWidth="1"/>
    <col min="14853" max="14853" width="26" style="1" customWidth="1"/>
    <col min="14854" max="14854" width="7.7109375" style="1" customWidth="1"/>
    <col min="14855" max="14857" width="9.140625" style="1"/>
    <col min="14858" max="14858" width="14.28515625" style="1" bestFit="1" customWidth="1"/>
    <col min="14859" max="14859" width="15" style="1" bestFit="1" customWidth="1"/>
    <col min="14860" max="14860" width="13.7109375" style="1" bestFit="1" customWidth="1"/>
    <col min="14861" max="15104" width="9.140625" style="1"/>
    <col min="15105" max="15105" width="34.28515625" style="1" bestFit="1" customWidth="1"/>
    <col min="15106" max="15106" width="9.42578125" style="1" customWidth="1"/>
    <col min="15107" max="15107" width="7" style="1" customWidth="1"/>
    <col min="15108" max="15108" width="2.5703125" style="1" customWidth="1"/>
    <col min="15109" max="15109" width="26" style="1" customWidth="1"/>
    <col min="15110" max="15110" width="7.7109375" style="1" customWidth="1"/>
    <col min="15111" max="15113" width="9.140625" style="1"/>
    <col min="15114" max="15114" width="14.28515625" style="1" bestFit="1" customWidth="1"/>
    <col min="15115" max="15115" width="15" style="1" bestFit="1" customWidth="1"/>
    <col min="15116" max="15116" width="13.7109375" style="1" bestFit="1" customWidth="1"/>
    <col min="15117" max="15360" width="9.140625" style="1"/>
    <col min="15361" max="15361" width="34.28515625" style="1" bestFit="1" customWidth="1"/>
    <col min="15362" max="15362" width="9.42578125" style="1" customWidth="1"/>
    <col min="15363" max="15363" width="7" style="1" customWidth="1"/>
    <col min="15364" max="15364" width="2.5703125" style="1" customWidth="1"/>
    <col min="15365" max="15365" width="26" style="1" customWidth="1"/>
    <col min="15366" max="15366" width="7.7109375" style="1" customWidth="1"/>
    <col min="15367" max="15369" width="9.140625" style="1"/>
    <col min="15370" max="15370" width="14.28515625" style="1" bestFit="1" customWidth="1"/>
    <col min="15371" max="15371" width="15" style="1" bestFit="1" customWidth="1"/>
    <col min="15372" max="15372" width="13.7109375" style="1" bestFit="1" customWidth="1"/>
    <col min="15373" max="15616" width="9.140625" style="1"/>
    <col min="15617" max="15617" width="34.28515625" style="1" bestFit="1" customWidth="1"/>
    <col min="15618" max="15618" width="9.42578125" style="1" customWidth="1"/>
    <col min="15619" max="15619" width="7" style="1" customWidth="1"/>
    <col min="15620" max="15620" width="2.5703125" style="1" customWidth="1"/>
    <col min="15621" max="15621" width="26" style="1" customWidth="1"/>
    <col min="15622" max="15622" width="7.7109375" style="1" customWidth="1"/>
    <col min="15623" max="15625" width="9.140625" style="1"/>
    <col min="15626" max="15626" width="14.28515625" style="1" bestFit="1" customWidth="1"/>
    <col min="15627" max="15627" width="15" style="1" bestFit="1" customWidth="1"/>
    <col min="15628" max="15628" width="13.7109375" style="1" bestFit="1" customWidth="1"/>
    <col min="15629" max="15872" width="9.140625" style="1"/>
    <col min="15873" max="15873" width="34.28515625" style="1" bestFit="1" customWidth="1"/>
    <col min="15874" max="15874" width="9.42578125" style="1" customWidth="1"/>
    <col min="15875" max="15875" width="7" style="1" customWidth="1"/>
    <col min="15876" max="15876" width="2.5703125" style="1" customWidth="1"/>
    <col min="15877" max="15877" width="26" style="1" customWidth="1"/>
    <col min="15878" max="15878" width="7.7109375" style="1" customWidth="1"/>
    <col min="15879" max="15881" width="9.140625" style="1"/>
    <col min="15882" max="15882" width="14.28515625" style="1" bestFit="1" customWidth="1"/>
    <col min="15883" max="15883" width="15" style="1" bestFit="1" customWidth="1"/>
    <col min="15884" max="15884" width="13.7109375" style="1" bestFit="1" customWidth="1"/>
    <col min="15885" max="16128" width="9.140625" style="1"/>
    <col min="16129" max="16129" width="34.28515625" style="1" bestFit="1" customWidth="1"/>
    <col min="16130" max="16130" width="9.42578125" style="1" customWidth="1"/>
    <col min="16131" max="16131" width="7" style="1" customWidth="1"/>
    <col min="16132" max="16132" width="2.5703125" style="1" customWidth="1"/>
    <col min="16133" max="16133" width="26" style="1" customWidth="1"/>
    <col min="16134" max="16134" width="7.7109375" style="1" customWidth="1"/>
    <col min="16135" max="16137" width="9.140625" style="1"/>
    <col min="16138" max="16138" width="14.28515625" style="1" bestFit="1" customWidth="1"/>
    <col min="16139" max="16139" width="15" style="1" bestFit="1" customWidth="1"/>
    <col min="16140" max="16140" width="13.7109375" style="1" bestFit="1" customWidth="1"/>
    <col min="16141" max="16384" width="9.140625" style="1"/>
  </cols>
  <sheetData>
    <row r="4" spans="1:15" ht="15" customHeight="1" x14ac:dyDescent="0.2"/>
    <row r="5" spans="1:15" ht="15" customHeight="1" x14ac:dyDescent="0.2"/>
    <row r="6" spans="1:15" ht="15" customHeight="1" x14ac:dyDescent="0.2"/>
    <row r="7" spans="1:15" ht="15" customHeight="1" x14ac:dyDescent="0.2"/>
    <row r="8" spans="1:15" ht="15" customHeight="1" x14ac:dyDescent="0.2"/>
    <row r="9" spans="1:15" ht="15" customHeight="1" x14ac:dyDescent="0.2"/>
    <row r="10" spans="1:15" ht="15" customHeight="1" x14ac:dyDescent="0.2"/>
    <row r="11" spans="1:15" ht="15" customHeight="1" x14ac:dyDescent="0.2"/>
    <row r="12" spans="1:15" ht="15" customHeight="1" x14ac:dyDescent="0.2"/>
    <row r="13" spans="1:15" ht="15" customHeight="1" thickBot="1" x14ac:dyDescent="0.25">
      <c r="A13" s="2"/>
      <c r="B13" s="2"/>
      <c r="C13" s="2"/>
      <c r="D13" s="2"/>
      <c r="E13" s="2"/>
      <c r="F13" s="2"/>
      <c r="G13" s="2"/>
      <c r="H13" s="2"/>
    </row>
    <row r="14" spans="1:15" x14ac:dyDescent="0.2">
      <c r="A14" s="3"/>
    </row>
    <row r="15" spans="1:15" x14ac:dyDescent="0.2">
      <c r="I15" s="3"/>
      <c r="J15" s="3"/>
      <c r="K15" s="3"/>
      <c r="L15" s="3"/>
      <c r="M15" s="3"/>
      <c r="N15" s="3"/>
      <c r="O15" s="3"/>
    </row>
    <row r="16" spans="1:15" ht="18" x14ac:dyDescent="0.25">
      <c r="A16" s="4" t="s">
        <v>0</v>
      </c>
      <c r="I16" s="3"/>
      <c r="J16" s="3"/>
      <c r="K16" s="3"/>
      <c r="L16" s="3"/>
      <c r="M16" s="3"/>
      <c r="N16" s="3"/>
      <c r="O16" s="3"/>
    </row>
    <row r="17" spans="1:15" ht="12.95" customHeight="1" x14ac:dyDescent="0.2">
      <c r="I17" s="3"/>
      <c r="J17" s="3"/>
      <c r="K17" s="3"/>
      <c r="L17" s="3"/>
      <c r="M17" s="3"/>
      <c r="N17" s="3"/>
      <c r="O17" s="3"/>
    </row>
    <row r="18" spans="1:15" ht="12.95" customHeight="1" x14ac:dyDescent="0.2">
      <c r="A18" s="1" t="s">
        <v>1</v>
      </c>
      <c r="B18" s="58">
        <v>900</v>
      </c>
      <c r="C18" s="5" t="s">
        <v>2</v>
      </c>
      <c r="E18" s="1" t="s">
        <v>182</v>
      </c>
      <c r="F18" s="7">
        <f>(1-D)*1000000000/(Fs*1000)</f>
        <v>836.10359489756468</v>
      </c>
      <c r="G18" s="5" t="s">
        <v>61</v>
      </c>
      <c r="I18" s="3"/>
      <c r="J18" s="3"/>
      <c r="K18" s="3"/>
      <c r="L18" s="3"/>
      <c r="M18" s="3"/>
      <c r="N18" s="3"/>
      <c r="O18" s="3"/>
    </row>
    <row r="19" spans="1:15" ht="12.95" customHeight="1" x14ac:dyDescent="0.2">
      <c r="A19" s="1" t="s">
        <v>3</v>
      </c>
      <c r="B19" s="6">
        <v>4</v>
      </c>
      <c r="C19" s="5" t="s">
        <v>4</v>
      </c>
      <c r="E19" s="1" t="s">
        <v>5</v>
      </c>
      <c r="F19" s="11">
        <f>IF(Vin&lt;Vout, (Vout-Vin+Iout*(Vout/Vin)*(DCR+B42)*0.001)/(Vout+Iout*(Vout/Vin)*(B42-B45)*0.001),0)</f>
        <v>0.24750676459219176</v>
      </c>
      <c r="G19" s="5"/>
      <c r="H19" s="8"/>
      <c r="I19" s="3"/>
      <c r="J19" s="3"/>
      <c r="K19" s="3"/>
      <c r="L19" s="3"/>
      <c r="M19" s="3"/>
      <c r="N19" s="3"/>
      <c r="O19" s="3"/>
    </row>
    <row r="20" spans="1:15" ht="12.95" customHeight="1" x14ac:dyDescent="0.2">
      <c r="A20" s="1" t="s">
        <v>6</v>
      </c>
      <c r="B20" s="6">
        <v>5.2</v>
      </c>
      <c r="C20" s="5" t="s">
        <v>4</v>
      </c>
      <c r="E20" s="1" t="s">
        <v>7</v>
      </c>
      <c r="F20" s="7">
        <f>Vout/Iout</f>
        <v>2.6</v>
      </c>
      <c r="G20" s="5" t="s">
        <v>8</v>
      </c>
      <c r="I20" s="3"/>
      <c r="J20" s="3"/>
      <c r="K20" s="3"/>
      <c r="L20" s="3"/>
      <c r="M20" s="3"/>
      <c r="N20" s="3"/>
      <c r="O20" s="3"/>
    </row>
    <row r="21" spans="1:15" ht="12.95" customHeight="1" x14ac:dyDescent="0.2">
      <c r="A21" s="1" t="s">
        <v>9</v>
      </c>
      <c r="B21" s="9">
        <v>2</v>
      </c>
      <c r="C21" s="5" t="s">
        <v>10</v>
      </c>
      <c r="I21" s="3"/>
      <c r="J21" s="3"/>
      <c r="K21" s="3"/>
      <c r="L21" s="3"/>
      <c r="M21" s="3"/>
      <c r="N21" s="3"/>
      <c r="O21" s="3"/>
    </row>
    <row r="22" spans="1:15" ht="12.95" customHeight="1" x14ac:dyDescent="0.2">
      <c r="B22" s="10"/>
      <c r="E22" s="1" t="str">
        <f>IF(Vin&lt;Vout,"Q1,rms", "Q1,rsm")</f>
        <v>Q1,rms</v>
      </c>
      <c r="F22" s="7">
        <f>IF(Vin&lt;Vout, Iin*SQRT(1-D)*SQRT(1+1/3*(Irip/2/Iout)^2), Iout)</f>
        <v>2.3675870515989619</v>
      </c>
      <c r="G22" s="5" t="s">
        <v>10</v>
      </c>
      <c r="I22" s="3"/>
      <c r="J22" s="3"/>
      <c r="K22" s="3"/>
      <c r="L22" s="3"/>
      <c r="M22" s="3"/>
      <c r="N22" s="3"/>
      <c r="O22" s="3"/>
    </row>
    <row r="23" spans="1:15" ht="12.95" customHeight="1" x14ac:dyDescent="0.2">
      <c r="A23" s="12" t="s">
        <v>11</v>
      </c>
      <c r="B23" s="10"/>
      <c r="E23" s="1" t="str">
        <f>IF(Vin&lt;Vout,"Q2,rms","Q2,rms")</f>
        <v>Q2,rms</v>
      </c>
      <c r="F23" s="7">
        <f>IF(Vin&lt;Vout,Iin*SQRT(D)*SQRT(1+1/3*(Irip/2/Iout)^2),0)</f>
        <v>1.3578387318656417</v>
      </c>
      <c r="G23" s="5" t="s">
        <v>10</v>
      </c>
      <c r="H23" s="13"/>
      <c r="I23" s="13"/>
      <c r="J23" s="13"/>
      <c r="K23" s="13"/>
      <c r="L23" s="13"/>
      <c r="M23" s="13"/>
      <c r="N23" s="3"/>
      <c r="O23" s="3"/>
    </row>
    <row r="24" spans="1:15" ht="12.95" customHeight="1" x14ac:dyDescent="0.2">
      <c r="A24" s="14" t="s">
        <v>12</v>
      </c>
      <c r="B24" s="15">
        <v>40</v>
      </c>
      <c r="C24" s="16" t="s">
        <v>13</v>
      </c>
      <c r="F24" s="17"/>
      <c r="H24" s="13"/>
      <c r="I24" s="13"/>
      <c r="J24" s="13"/>
      <c r="K24" s="13"/>
      <c r="L24" s="13"/>
      <c r="M24" s="13"/>
      <c r="N24" s="3"/>
      <c r="O24" s="3"/>
    </row>
    <row r="25" spans="1:15" ht="12.95" customHeight="1" x14ac:dyDescent="0.2">
      <c r="A25" s="14"/>
      <c r="B25" s="14"/>
      <c r="C25" s="14"/>
      <c r="F25" s="17"/>
      <c r="H25" s="13"/>
      <c r="I25" s="13"/>
      <c r="J25" s="13"/>
      <c r="K25" s="13"/>
      <c r="L25" s="13"/>
      <c r="M25" s="13"/>
      <c r="N25" s="3"/>
      <c r="O25" s="3"/>
    </row>
    <row r="26" spans="1:15" ht="15" customHeight="1" x14ac:dyDescent="0.25">
      <c r="A26" s="14" t="s">
        <v>14</v>
      </c>
      <c r="B26" s="7">
        <f>IF(Vin&lt;Vout, (((Vin)*D)/((Fs*10^3)*4.5*(LIR/100)))*10^6,(((Vin-Vout)*D)/((Fs*10^3)*4*(LIR/100)))*10^6)</f>
        <v>0.61112781380788095</v>
      </c>
      <c r="C26" s="16" t="s">
        <v>15</v>
      </c>
      <c r="E26" s="1" t="s">
        <v>16</v>
      </c>
      <c r="F26" s="7">
        <f>IF(Vin&lt;Vout, Vin*D/(Lout*10^(-6)*Fs*10^3), 0)</f>
        <v>1.6176912718443905</v>
      </c>
      <c r="G26" s="5" t="s">
        <v>17</v>
      </c>
      <c r="H26" s="13"/>
      <c r="I26" s="13"/>
      <c r="J26" s="13"/>
      <c r="K26"/>
      <c r="L26" s="13"/>
      <c r="M26" s="13"/>
      <c r="N26" s="13"/>
      <c r="O26" s="3"/>
    </row>
    <row r="27" spans="1:15" ht="12.95" customHeight="1" x14ac:dyDescent="0.2">
      <c r="A27" s="1" t="s">
        <v>18</v>
      </c>
      <c r="B27" s="9">
        <v>0.68</v>
      </c>
      <c r="C27" s="5" t="s">
        <v>15</v>
      </c>
      <c r="E27" s="1" t="s">
        <v>19</v>
      </c>
      <c r="F27" s="7">
        <f>IF(Vin&lt;Vout, Iout/(1-D),Iout)</f>
        <v>2.6578312015205223</v>
      </c>
      <c r="G27" s="5" t="s">
        <v>10</v>
      </c>
      <c r="H27" s="13"/>
      <c r="I27" s="13"/>
      <c r="J27" s="18"/>
      <c r="K27" s="18" t="s">
        <v>20</v>
      </c>
      <c r="L27" s="18" t="s">
        <v>21</v>
      </c>
      <c r="M27" s="13"/>
      <c r="N27" s="13"/>
      <c r="O27" s="3"/>
    </row>
    <row r="28" spans="1:15" ht="12.95" customHeight="1" x14ac:dyDescent="0.2">
      <c r="A28" s="19" t="s">
        <v>22</v>
      </c>
      <c r="B28" s="20">
        <v>6</v>
      </c>
      <c r="C28" s="5" t="s">
        <v>23</v>
      </c>
      <c r="E28" s="1" t="s">
        <v>24</v>
      </c>
      <c r="F28" s="7">
        <f>IF(Vin&lt;Vout, Iout/(1-D)+Irip/2,Iout)</f>
        <v>3.4666768374427175</v>
      </c>
      <c r="G28" s="5" t="s">
        <v>10</v>
      </c>
      <c r="H28" s="13"/>
      <c r="I28" s="13"/>
      <c r="J28" s="18"/>
      <c r="K28" s="21"/>
      <c r="L28" s="21"/>
      <c r="M28" s="22"/>
      <c r="N28" s="13"/>
      <c r="O28" s="3"/>
    </row>
    <row r="29" spans="1:15" ht="12.95" customHeight="1" x14ac:dyDescent="0.2">
      <c r="A29" s="19"/>
      <c r="B29" s="93" t="e">
        <f>IF(Vin*Dmax/(Lout*0.000001)&gt;1.5*Se*#REF!, "Must Increase L"," ")</f>
        <v>#REF!</v>
      </c>
      <c r="F29" s="3" t="str">
        <f>IF(F28&gt;5, "Current Limit", " ")</f>
        <v xml:space="preserve"> </v>
      </c>
      <c r="G29" s="14"/>
      <c r="H29" s="13"/>
      <c r="I29" s="13"/>
      <c r="J29" s="18"/>
      <c r="K29" s="21"/>
      <c r="L29" s="21"/>
      <c r="M29" s="22"/>
      <c r="N29" s="13"/>
      <c r="O29" s="3"/>
    </row>
    <row r="30" spans="1:15" ht="12.95" customHeight="1" x14ac:dyDescent="0.2">
      <c r="A30" s="12" t="s">
        <v>27</v>
      </c>
      <c r="B30" s="10"/>
      <c r="D30" s="14"/>
      <c r="E30" s="14"/>
      <c r="F30" s="14"/>
      <c r="G30" s="14"/>
      <c r="H30" s="13"/>
      <c r="I30" s="13"/>
      <c r="J30" s="18" t="s">
        <v>25</v>
      </c>
      <c r="K30" s="21">
        <f>IF(Vin&lt;Vout,B94,B100)</f>
        <v>0.14013671117247661</v>
      </c>
      <c r="L30" s="21">
        <f>IF(Vin&lt;Vout,B95+B96+B97+B98+B99,0)</f>
        <v>7.7061301673601507E-2</v>
      </c>
      <c r="M30" s="22"/>
      <c r="N30" s="13"/>
      <c r="O30" s="3"/>
    </row>
    <row r="31" spans="1:15" ht="12.95" customHeight="1" x14ac:dyDescent="0.2">
      <c r="A31" s="1" t="s">
        <v>28</v>
      </c>
      <c r="B31" s="20">
        <v>20</v>
      </c>
      <c r="D31" s="14"/>
      <c r="E31" s="14"/>
      <c r="F31" s="14"/>
      <c r="G31" s="14"/>
      <c r="H31" s="13"/>
      <c r="I31" s="13"/>
      <c r="J31" s="18" t="s">
        <v>26</v>
      </c>
      <c r="K31" s="21">
        <f>IF(Vin&lt;Vout,B112,0)</f>
        <v>6.4530410761407295E-2</v>
      </c>
      <c r="L31" s="21">
        <f>IF(Vin&lt;Vout,B113+B114+B115,0)</f>
        <v>2.6333261581137312E-2</v>
      </c>
      <c r="M31" s="22"/>
      <c r="N31" s="13"/>
      <c r="O31" s="3"/>
    </row>
    <row r="32" spans="1:15" ht="12.95" customHeight="1" x14ac:dyDescent="0.2">
      <c r="A32" s="1" t="s">
        <v>29</v>
      </c>
      <c r="B32" s="20">
        <v>15</v>
      </c>
      <c r="C32" s="5" t="s">
        <v>30</v>
      </c>
      <c r="E32" s="63"/>
      <c r="F32" s="92"/>
      <c r="H32" s="13"/>
      <c r="I32" s="13"/>
      <c r="J32" s="18" t="s">
        <v>31</v>
      </c>
      <c r="K32" s="18"/>
      <c r="L32" s="21">
        <f>B126</f>
        <v>7.4137142857142846E-2</v>
      </c>
      <c r="M32" s="22"/>
      <c r="N32" s="13"/>
      <c r="O32" s="3"/>
    </row>
    <row r="33" spans="1:15" ht="12.95" customHeight="1" x14ac:dyDescent="0.2">
      <c r="A33" s="1" t="s">
        <v>32</v>
      </c>
      <c r="B33" s="20">
        <v>6</v>
      </c>
      <c r="C33" s="5" t="s">
        <v>23</v>
      </c>
      <c r="H33" s="13"/>
      <c r="I33" s="13"/>
      <c r="J33" s="18" t="s">
        <v>33</v>
      </c>
      <c r="K33" s="21">
        <f>B130</f>
        <v>4.3692862700156904E-2</v>
      </c>
      <c r="L33" s="21">
        <f>B129</f>
        <v>9.8237957908979726E-2</v>
      </c>
      <c r="M33" s="22"/>
      <c r="N33" s="13"/>
      <c r="O33" s="3"/>
    </row>
    <row r="34" spans="1:15" ht="12.95" customHeight="1" x14ac:dyDescent="0.2">
      <c r="B34" s="23"/>
      <c r="H34" s="13"/>
      <c r="I34" s="13"/>
      <c r="J34" s="18" t="s">
        <v>34</v>
      </c>
      <c r="K34" s="24">
        <f>B134</f>
        <v>5.531178065263482E-4</v>
      </c>
      <c r="L34" s="18"/>
      <c r="M34" s="13"/>
      <c r="N34" s="13"/>
      <c r="O34" s="3"/>
    </row>
    <row r="35" spans="1:15" ht="12.95" hidden="1" customHeight="1" x14ac:dyDescent="0.2">
      <c r="A35" s="12" t="s">
        <v>176</v>
      </c>
      <c r="H35" s="13"/>
      <c r="I35" s="13"/>
      <c r="J35" s="13"/>
      <c r="K35" s="13"/>
      <c r="L35" s="13"/>
      <c r="M35" s="22"/>
      <c r="N35" s="13"/>
      <c r="O35" s="3"/>
    </row>
    <row r="36" spans="1:15" ht="12.95" hidden="1" customHeight="1" x14ac:dyDescent="0.2">
      <c r="A36" s="1" t="s">
        <v>35</v>
      </c>
      <c r="B36" s="58">
        <v>1E-4</v>
      </c>
      <c r="C36" s="5" t="s">
        <v>23</v>
      </c>
      <c r="E36" s="8"/>
      <c r="H36" s="13"/>
      <c r="I36" s="13"/>
      <c r="J36" s="13"/>
      <c r="K36" s="13"/>
      <c r="L36" s="13"/>
      <c r="M36" s="13"/>
      <c r="N36" s="13"/>
      <c r="O36" s="3"/>
    </row>
    <row r="37" spans="1:15" ht="12.95" hidden="1" customHeight="1" x14ac:dyDescent="0.2">
      <c r="B37" s="23"/>
      <c r="E37" s="8"/>
      <c r="H37" s="13"/>
      <c r="I37" s="13"/>
      <c r="J37" s="13"/>
      <c r="K37" s="13"/>
      <c r="L37" s="13"/>
      <c r="M37" s="13"/>
      <c r="N37" s="13"/>
      <c r="O37" s="3"/>
    </row>
    <row r="38" spans="1:15" ht="12.95" hidden="1" customHeight="1" x14ac:dyDescent="0.2">
      <c r="A38" s="12" t="s">
        <v>177</v>
      </c>
      <c r="B38" s="23"/>
      <c r="E38" s="8"/>
      <c r="H38" s="13"/>
      <c r="I38" s="13"/>
      <c r="J38" s="13"/>
      <c r="K38" s="13"/>
      <c r="L38" s="13"/>
      <c r="M38" s="13"/>
      <c r="N38" s="13"/>
      <c r="O38" s="3"/>
    </row>
    <row r="39" spans="1:15" ht="12.95" hidden="1" customHeight="1" x14ac:dyDescent="0.2">
      <c r="A39" s="1" t="s">
        <v>35</v>
      </c>
      <c r="B39" s="58">
        <v>1E-4</v>
      </c>
      <c r="C39" s="5" t="s">
        <v>23</v>
      </c>
      <c r="E39" s="8"/>
      <c r="I39" s="3"/>
      <c r="J39" s="13"/>
      <c r="K39" s="13"/>
      <c r="L39" s="13"/>
      <c r="M39" s="13"/>
      <c r="N39" s="13"/>
      <c r="O39" s="3"/>
    </row>
    <row r="40" spans="1:15" ht="12.95" hidden="1" customHeight="1" x14ac:dyDescent="0.2">
      <c r="B40" s="25"/>
      <c r="C40" s="26"/>
      <c r="E40" s="8"/>
      <c r="I40" s="3"/>
      <c r="J40" s="13"/>
      <c r="K40" s="13"/>
      <c r="L40" s="13"/>
      <c r="M40" s="13"/>
      <c r="N40" s="13"/>
      <c r="O40" s="3"/>
    </row>
    <row r="41" spans="1:15" ht="12.95" customHeight="1" x14ac:dyDescent="0.2">
      <c r="A41" s="12" t="s">
        <v>178</v>
      </c>
      <c r="B41" s="23"/>
      <c r="I41" s="3"/>
      <c r="J41" s="13"/>
      <c r="K41" s="13"/>
      <c r="L41" s="13"/>
      <c r="M41" s="13"/>
      <c r="N41" s="13"/>
      <c r="O41" s="3"/>
    </row>
    <row r="42" spans="1:15" ht="12.95" customHeight="1" x14ac:dyDescent="0.2">
      <c r="A42" s="1" t="s">
        <v>36</v>
      </c>
      <c r="B42" s="58">
        <v>25</v>
      </c>
      <c r="C42" s="5" t="s">
        <v>23</v>
      </c>
      <c r="E42" s="8"/>
      <c r="I42" s="3"/>
      <c r="J42" s="13"/>
      <c r="K42" s="13"/>
      <c r="L42" s="13"/>
      <c r="M42" s="13"/>
      <c r="N42" s="13"/>
      <c r="O42" s="3"/>
    </row>
    <row r="43" spans="1:15" ht="12.95" customHeight="1" x14ac:dyDescent="0.2">
      <c r="B43" s="23"/>
      <c r="E43" s="8"/>
      <c r="I43" s="3"/>
      <c r="J43" s="13"/>
      <c r="K43" s="13"/>
      <c r="L43" s="13"/>
      <c r="M43" s="13"/>
      <c r="N43" s="13"/>
      <c r="O43" s="3"/>
    </row>
    <row r="44" spans="1:15" ht="12.95" customHeight="1" x14ac:dyDescent="0.2">
      <c r="A44" s="12" t="s">
        <v>179</v>
      </c>
      <c r="B44" s="23"/>
      <c r="E44" s="8"/>
      <c r="F44" s="1" t="str">
        <f>IF(Vin&lt;Vout, "Boost Mode","Pass Through")</f>
        <v>Boost Mode</v>
      </c>
      <c r="I44" s="3"/>
      <c r="J44" s="3"/>
      <c r="K44" s="3"/>
      <c r="L44" s="3"/>
      <c r="M44" s="3"/>
      <c r="N44" s="3"/>
      <c r="O44" s="3"/>
    </row>
    <row r="45" spans="1:15" ht="12.95" customHeight="1" x14ac:dyDescent="0.2">
      <c r="A45" s="1" t="s">
        <v>35</v>
      </c>
      <c r="B45" s="58">
        <v>35</v>
      </c>
      <c r="C45" s="5" t="s">
        <v>23</v>
      </c>
      <c r="E45" s="27" t="s">
        <v>37</v>
      </c>
      <c r="F45" s="96">
        <v>50</v>
      </c>
      <c r="G45" s="28" t="s">
        <v>38</v>
      </c>
      <c r="I45" s="3"/>
      <c r="J45" s="3"/>
      <c r="K45" s="3"/>
      <c r="L45" s="3"/>
      <c r="M45" s="3"/>
      <c r="N45" s="3"/>
      <c r="O45" s="3"/>
    </row>
    <row r="46" spans="1:15" ht="12.95" customHeight="1" x14ac:dyDescent="0.2">
      <c r="B46" s="23"/>
      <c r="E46" s="27" t="s">
        <v>39</v>
      </c>
      <c r="F46" s="96">
        <v>25</v>
      </c>
      <c r="G46" s="28" t="s">
        <v>40</v>
      </c>
      <c r="I46" s="3"/>
      <c r="J46" s="3"/>
      <c r="K46" s="3"/>
      <c r="L46" s="3"/>
      <c r="M46" s="3"/>
      <c r="N46" s="3"/>
      <c r="O46" s="3"/>
    </row>
    <row r="47" spans="1:15" ht="12.95" customHeight="1" x14ac:dyDescent="0.25">
      <c r="A47" s="29" t="s">
        <v>41</v>
      </c>
      <c r="B47" s="30">
        <f>Tloss</f>
        <v>0.52468356009893313</v>
      </c>
      <c r="C47" s="31" t="s">
        <v>42</v>
      </c>
      <c r="E47" s="27" t="s">
        <v>183</v>
      </c>
      <c r="F47" s="32">
        <f>+F45*F48+F46</f>
        <v>44.109941402288278</v>
      </c>
      <c r="G47" s="28" t="s">
        <v>40</v>
      </c>
      <c r="K47" s="3"/>
      <c r="L47" s="3"/>
      <c r="M47" s="3"/>
      <c r="N47" s="3"/>
      <c r="O47" s="3"/>
    </row>
    <row r="48" spans="1:15" ht="12.95" customHeight="1" x14ac:dyDescent="0.25">
      <c r="A48" s="29" t="s">
        <v>43</v>
      </c>
      <c r="B48" s="30">
        <f>Efficiency</f>
        <v>95.197265374209323</v>
      </c>
      <c r="C48" s="31" t="s">
        <v>13</v>
      </c>
      <c r="E48" s="1" t="s">
        <v>44</v>
      </c>
      <c r="F48" s="33">
        <f>+K28+L28+K29+L29+K30+L30+K31+L31+L32</f>
        <v>0.38219882804576555</v>
      </c>
      <c r="G48" s="34" t="s">
        <v>45</v>
      </c>
      <c r="J48" s="10"/>
    </row>
    <row r="49" spans="1:12" ht="12.95" customHeight="1" thickBot="1" x14ac:dyDescent="0.25">
      <c r="A49" s="2"/>
      <c r="B49" s="35"/>
      <c r="C49" s="2"/>
      <c r="D49" s="2"/>
      <c r="E49" s="2"/>
      <c r="F49" s="2"/>
      <c r="G49" s="2"/>
      <c r="H49" s="2"/>
    </row>
    <row r="50" spans="1:12" s="37" customFormat="1" ht="12.95" customHeight="1" x14ac:dyDescent="0.2">
      <c r="A50" s="3"/>
      <c r="B50" s="36"/>
      <c r="C50" s="3"/>
      <c r="D50" s="3"/>
      <c r="E50" s="3"/>
      <c r="F50" s="3"/>
      <c r="G50" s="3"/>
      <c r="H50" s="3"/>
      <c r="I50" s="3"/>
      <c r="J50" s="1"/>
      <c r="K50" s="1"/>
      <c r="L50" s="1"/>
    </row>
    <row r="51" spans="1:12" s="41" customFormat="1" ht="26.25" customHeight="1" x14ac:dyDescent="0.4">
      <c r="A51" s="38" t="s">
        <v>46</v>
      </c>
      <c r="B51" s="39" t="str">
        <f>IF(Vin&lt;Vout, "Boost Mode","Pass Through")</f>
        <v>Boost Mode</v>
      </c>
      <c r="C51" s="40"/>
      <c r="D51" s="40"/>
      <c r="E51" s="40"/>
      <c r="F51" s="40"/>
      <c r="G51" s="40"/>
      <c r="H51" s="40"/>
      <c r="I51" s="40"/>
      <c r="J51" s="1"/>
      <c r="K51" s="1"/>
      <c r="L51" s="1"/>
    </row>
    <row r="52" spans="1:12" s="41" customFormat="1" ht="12.95" hidden="1" customHeight="1" x14ac:dyDescent="0.2">
      <c r="A52" s="40" t="s">
        <v>47</v>
      </c>
      <c r="B52" s="40">
        <f>B36</f>
        <v>1E-4</v>
      </c>
      <c r="C52" s="40" t="s">
        <v>23</v>
      </c>
      <c r="D52" s="40"/>
      <c r="E52" s="40"/>
      <c r="F52" s="40"/>
      <c r="G52" s="40"/>
      <c r="H52" s="18"/>
      <c r="I52" s="18"/>
      <c r="J52" s="37"/>
      <c r="K52" s="37"/>
      <c r="L52" s="37"/>
    </row>
    <row r="53" spans="1:12" s="41" customFormat="1" ht="12.95" hidden="1" customHeight="1" x14ac:dyDescent="0.2">
      <c r="A53" s="40" t="s">
        <v>48</v>
      </c>
      <c r="B53" s="40">
        <v>1.2</v>
      </c>
      <c r="C53" s="40" t="s">
        <v>4</v>
      </c>
      <c r="D53" s="40"/>
      <c r="E53" s="40"/>
      <c r="F53" s="40"/>
      <c r="G53" s="40"/>
      <c r="H53" s="18"/>
      <c r="I53" s="18"/>
    </row>
    <row r="54" spans="1:12" s="41" customFormat="1" ht="12.95" hidden="1" customHeight="1" x14ac:dyDescent="0.2">
      <c r="A54" s="40" t="s">
        <v>49</v>
      </c>
      <c r="B54" s="40">
        <v>0.2</v>
      </c>
      <c r="C54" s="40" t="s">
        <v>50</v>
      </c>
      <c r="D54" s="40"/>
      <c r="E54" s="40"/>
      <c r="F54" s="40"/>
      <c r="G54" s="40"/>
      <c r="H54" s="18"/>
      <c r="I54" s="18"/>
    </row>
    <row r="55" spans="1:12" s="41" customFormat="1" ht="12.95" hidden="1" customHeight="1" x14ac:dyDescent="0.2">
      <c r="A55" s="40" t="s">
        <v>51</v>
      </c>
      <c r="B55" s="42">
        <f>+E55/B52</f>
        <v>9.9999999999999986E-17</v>
      </c>
      <c r="C55" s="40" t="s">
        <v>50</v>
      </c>
      <c r="D55" s="40" t="s">
        <v>52</v>
      </c>
      <c r="E55" s="44">
        <v>9.9999999999999995E-21</v>
      </c>
      <c r="F55" s="40" t="s">
        <v>53</v>
      </c>
      <c r="G55" s="40"/>
      <c r="H55" s="18"/>
      <c r="I55" s="18"/>
    </row>
    <row r="56" spans="1:12" s="41" customFormat="1" ht="12.95" hidden="1" customHeight="1" x14ac:dyDescent="0.2">
      <c r="A56" s="40" t="s">
        <v>54</v>
      </c>
      <c r="B56" s="43">
        <f>+E56/B52</f>
        <v>9.9999999999999986E-17</v>
      </c>
      <c r="C56" s="40" t="s">
        <v>55</v>
      </c>
      <c r="D56" s="40" t="s">
        <v>56</v>
      </c>
      <c r="E56" s="44">
        <v>9.9999999999999995E-21</v>
      </c>
      <c r="F56" s="40" t="s">
        <v>57</v>
      </c>
      <c r="G56" s="40"/>
      <c r="H56" s="18"/>
      <c r="I56" s="18"/>
    </row>
    <row r="57" spans="1:12" s="41" customFormat="1" ht="12.95" hidden="1" customHeight="1" x14ac:dyDescent="0.2">
      <c r="A57" s="40" t="s">
        <v>58</v>
      </c>
      <c r="B57" s="45">
        <f>+E57/B52</f>
        <v>9.9999999999999986E-17</v>
      </c>
      <c r="C57" s="40" t="s">
        <v>55</v>
      </c>
      <c r="D57" s="40" t="s">
        <v>59</v>
      </c>
      <c r="E57" s="44">
        <v>9.9999999999999995E-21</v>
      </c>
      <c r="F57" s="40" t="s">
        <v>57</v>
      </c>
      <c r="G57" s="40"/>
      <c r="H57" s="18"/>
      <c r="I57" s="18"/>
    </row>
    <row r="58" spans="1:12" s="41" customFormat="1" ht="12.95" hidden="1" customHeight="1" x14ac:dyDescent="0.2">
      <c r="A58" s="40" t="s">
        <v>60</v>
      </c>
      <c r="B58" s="40">
        <v>4</v>
      </c>
      <c r="C58" s="40" t="s">
        <v>61</v>
      </c>
      <c r="D58" s="40" t="s">
        <v>62</v>
      </c>
      <c r="E58" s="40"/>
      <c r="F58" s="40"/>
      <c r="G58" s="40"/>
      <c r="H58" s="18"/>
      <c r="I58" s="18"/>
    </row>
    <row r="59" spans="1:12" s="41" customFormat="1" ht="12.95" hidden="1" customHeight="1" x14ac:dyDescent="0.2">
      <c r="A59" s="46" t="s">
        <v>63</v>
      </c>
      <c r="B59" s="46">
        <v>4</v>
      </c>
      <c r="C59" s="46" t="s">
        <v>61</v>
      </c>
      <c r="D59" s="40" t="s">
        <v>64</v>
      </c>
      <c r="E59" s="40"/>
      <c r="F59" s="40"/>
      <c r="G59" s="40"/>
      <c r="H59" s="18"/>
      <c r="I59" s="18"/>
    </row>
    <row r="60" spans="1:12" s="50" customFormat="1" ht="12.95" hidden="1" customHeight="1" x14ac:dyDescent="0.2">
      <c r="A60" s="47" t="s">
        <v>65</v>
      </c>
      <c r="B60" s="48">
        <v>1</v>
      </c>
      <c r="C60" s="46"/>
      <c r="D60" s="46" t="s">
        <v>66</v>
      </c>
      <c r="E60" s="46"/>
      <c r="F60" s="46"/>
      <c r="G60" s="46"/>
      <c r="H60" s="49"/>
      <c r="I60" s="49"/>
      <c r="J60" s="41"/>
      <c r="K60" s="41"/>
      <c r="L60" s="41"/>
    </row>
    <row r="61" spans="1:12" s="41" customFormat="1" ht="12.95" hidden="1" customHeight="1" x14ac:dyDescent="0.2">
      <c r="A61" s="40" t="s">
        <v>67</v>
      </c>
      <c r="B61" s="51">
        <f>Iu_rms^2*B52/B60/1000</f>
        <v>5.605468446899065E-7</v>
      </c>
      <c r="C61" s="40" t="s">
        <v>45</v>
      </c>
      <c r="D61" s="40" t="s">
        <v>68</v>
      </c>
      <c r="E61" s="40"/>
      <c r="F61" s="40"/>
      <c r="G61" s="40"/>
      <c r="H61" s="18"/>
      <c r="I61" s="18"/>
    </row>
    <row r="62" spans="1:12" s="41" customFormat="1" ht="12.95" hidden="1" customHeight="1" x14ac:dyDescent="0.2">
      <c r="A62" s="40" t="s">
        <v>69</v>
      </c>
      <c r="B62" s="52">
        <f>ABS(Vin*(Iin-0.5*Irip)*B58*10^(-9)*Fs*10^(3)/2)</f>
        <v>1.3312696072307957E-2</v>
      </c>
      <c r="C62" s="40" t="s">
        <v>45</v>
      </c>
      <c r="D62" s="40" t="s">
        <v>70</v>
      </c>
      <c r="E62" s="40"/>
      <c r="F62" s="40"/>
      <c r="G62" s="40"/>
      <c r="H62" s="18"/>
      <c r="I62" s="18"/>
      <c r="J62" s="50"/>
      <c r="K62" s="50"/>
      <c r="L62" s="50"/>
    </row>
    <row r="63" spans="1:12" s="41" customFormat="1" ht="12.95" hidden="1" customHeight="1" x14ac:dyDescent="0.2">
      <c r="A63" s="40" t="s">
        <v>71</v>
      </c>
      <c r="B63" s="51">
        <f>Vin*(Iin+0.5*Irip)*B59*10^(-9)*Fs*10^(3)/2</f>
        <v>2.4960073229587567E-2</v>
      </c>
      <c r="C63" s="40" t="s">
        <v>45</v>
      </c>
      <c r="D63" s="40" t="s">
        <v>72</v>
      </c>
      <c r="E63" s="40"/>
      <c r="F63" s="40"/>
      <c r="G63" s="40"/>
      <c r="H63" s="18"/>
      <c r="I63" s="18"/>
    </row>
    <row r="64" spans="1:12" s="41" customFormat="1" ht="12.95" hidden="1" customHeight="1" x14ac:dyDescent="0.2">
      <c r="A64" s="40" t="s">
        <v>73</v>
      </c>
      <c r="B64" s="51">
        <f>Vin*Fs*10^3*B54*10^(-9)*B60</f>
        <v>7.2000000000000005E-4</v>
      </c>
      <c r="C64" s="40" t="s">
        <v>45</v>
      </c>
      <c r="D64" s="40" t="s">
        <v>74</v>
      </c>
      <c r="E64" s="40"/>
      <c r="F64" s="40"/>
      <c r="G64" s="40"/>
      <c r="H64" s="18"/>
      <c r="I64" s="18"/>
    </row>
    <row r="65" spans="1:12" s="41" customFormat="1" ht="12.95" hidden="1" customHeight="1" x14ac:dyDescent="0.2">
      <c r="A65" s="40" t="s">
        <v>75</v>
      </c>
      <c r="B65" s="51">
        <f>0.5*B57*10^(-9)*Vin^2*Fs*10^3*B60</f>
        <v>7.1999999999999992E-19</v>
      </c>
      <c r="C65" s="40" t="s">
        <v>45</v>
      </c>
      <c r="D65" s="40" t="s">
        <v>76</v>
      </c>
      <c r="E65" s="40"/>
      <c r="F65" s="40"/>
      <c r="G65" s="40"/>
      <c r="H65" s="18"/>
      <c r="I65" s="18"/>
    </row>
    <row r="66" spans="1:12" s="41" customFormat="1" ht="12.95" hidden="1" customHeight="1" x14ac:dyDescent="0.2">
      <c r="A66" s="40" t="s">
        <v>77</v>
      </c>
      <c r="B66" s="51">
        <f>IF(Vin&lt;Vout, B52/1000*(Iin*SQRT(1+1/3*(Irip/Iin)^2))^2, SUM(B61:B65))</f>
        <v>7.9363750461098647E-7</v>
      </c>
      <c r="C66" s="40" t="s">
        <v>45</v>
      </c>
      <c r="D66" s="40" t="s">
        <v>78</v>
      </c>
      <c r="E66" s="40"/>
      <c r="F66" s="40"/>
      <c r="G66" s="40"/>
      <c r="H66" s="18"/>
      <c r="I66" s="18"/>
    </row>
    <row r="67" spans="1:12" s="41" customFormat="1" ht="12.95" hidden="1" customHeight="1" x14ac:dyDescent="0.2">
      <c r="A67" s="40"/>
      <c r="B67" s="40"/>
      <c r="C67" s="40"/>
      <c r="D67" s="40"/>
      <c r="E67" s="40"/>
      <c r="F67" s="40"/>
      <c r="G67" s="40"/>
      <c r="H67" s="18"/>
      <c r="I67" s="18"/>
    </row>
    <row r="68" spans="1:12" s="41" customFormat="1" ht="12.95" hidden="1" customHeight="1" x14ac:dyDescent="0.2">
      <c r="A68" s="53" t="s">
        <v>79</v>
      </c>
      <c r="B68" s="40"/>
      <c r="C68" s="40"/>
      <c r="D68" s="40"/>
      <c r="E68" s="40"/>
      <c r="F68" s="40"/>
      <c r="G68" s="40"/>
      <c r="H68" s="18"/>
      <c r="I68" s="18"/>
    </row>
    <row r="69" spans="1:12" s="41" customFormat="1" ht="12.95" hidden="1" customHeight="1" x14ac:dyDescent="0.2">
      <c r="A69" s="40" t="s">
        <v>80</v>
      </c>
      <c r="B69" s="54">
        <f>B39</f>
        <v>1E-4</v>
      </c>
      <c r="C69" s="40" t="s">
        <v>23</v>
      </c>
      <c r="D69" s="40"/>
      <c r="E69" s="40"/>
      <c r="F69" s="40"/>
      <c r="G69" s="40"/>
      <c r="H69" s="18"/>
      <c r="I69" s="18"/>
      <c r="J69" s="55"/>
    </row>
    <row r="70" spans="1:12" s="41" customFormat="1" ht="12.95" hidden="1" customHeight="1" x14ac:dyDescent="0.2">
      <c r="A70" s="40" t="s">
        <v>48</v>
      </c>
      <c r="B70" s="40">
        <v>1.2</v>
      </c>
      <c r="C70" s="40" t="s">
        <v>4</v>
      </c>
      <c r="D70" s="40"/>
      <c r="E70" s="40"/>
      <c r="F70" s="40"/>
      <c r="G70" s="40"/>
      <c r="H70" s="18"/>
      <c r="I70" s="18"/>
    </row>
    <row r="71" spans="1:12" s="41" customFormat="1" ht="12.95" hidden="1" customHeight="1" x14ac:dyDescent="0.2">
      <c r="A71" s="40" t="s">
        <v>49</v>
      </c>
      <c r="B71" s="40">
        <v>0.2</v>
      </c>
      <c r="C71" s="40" t="s">
        <v>50</v>
      </c>
      <c r="D71" s="40"/>
      <c r="E71" s="40"/>
      <c r="F71" s="40"/>
      <c r="G71" s="40"/>
      <c r="H71" s="18"/>
      <c r="I71" s="18"/>
    </row>
    <row r="72" spans="1:12" s="41" customFormat="1" ht="12.95" hidden="1" customHeight="1" x14ac:dyDescent="0.2">
      <c r="A72" s="40" t="s">
        <v>51</v>
      </c>
      <c r="B72" s="40">
        <f>+E72/B69</f>
        <v>9.9999999999999986E-17</v>
      </c>
      <c r="C72" s="40" t="s">
        <v>50</v>
      </c>
      <c r="D72" s="40" t="s">
        <v>52</v>
      </c>
      <c r="E72" s="44">
        <v>9.9999999999999995E-21</v>
      </c>
      <c r="F72" s="40" t="s">
        <v>53</v>
      </c>
      <c r="G72" s="40"/>
      <c r="H72" s="18"/>
      <c r="I72" s="18"/>
    </row>
    <row r="73" spans="1:12" s="41" customFormat="1" ht="12.95" hidden="1" customHeight="1" x14ac:dyDescent="0.2">
      <c r="A73" s="40" t="s">
        <v>54</v>
      </c>
      <c r="B73" s="56">
        <f>+E73/B69</f>
        <v>9.9999999999999986E-17</v>
      </c>
      <c r="C73" s="40" t="s">
        <v>55</v>
      </c>
      <c r="D73" s="40" t="s">
        <v>56</v>
      </c>
      <c r="E73" s="44">
        <v>9.9999999999999995E-21</v>
      </c>
      <c r="F73" s="40" t="s">
        <v>57</v>
      </c>
      <c r="G73" s="40"/>
      <c r="H73" s="18"/>
      <c r="I73" s="18"/>
    </row>
    <row r="74" spans="1:12" s="41" customFormat="1" ht="12.95" hidden="1" customHeight="1" x14ac:dyDescent="0.2">
      <c r="A74" s="40" t="s">
        <v>58</v>
      </c>
      <c r="B74" s="45">
        <f>+E74/B69</f>
        <v>9.9999999999999986E-17</v>
      </c>
      <c r="C74" s="40" t="s">
        <v>55</v>
      </c>
      <c r="D74" s="40" t="s">
        <v>59</v>
      </c>
      <c r="E74" s="44">
        <v>9.9999999999999995E-21</v>
      </c>
      <c r="F74" s="40" t="s">
        <v>57</v>
      </c>
      <c r="G74" s="40"/>
      <c r="H74" s="18"/>
      <c r="I74" s="18"/>
    </row>
    <row r="75" spans="1:12" s="41" customFormat="1" ht="12.95" hidden="1" customHeight="1" x14ac:dyDescent="0.2">
      <c r="A75" s="40" t="s">
        <v>81</v>
      </c>
      <c r="B75" s="40">
        <v>4</v>
      </c>
      <c r="C75" s="40" t="s">
        <v>61</v>
      </c>
      <c r="D75" s="40" t="s">
        <v>82</v>
      </c>
      <c r="E75" s="40"/>
      <c r="F75" s="40"/>
      <c r="G75" s="40"/>
      <c r="H75" s="18"/>
      <c r="I75" s="18"/>
    </row>
    <row r="76" spans="1:12" s="41" customFormat="1" ht="12.95" hidden="1" customHeight="1" x14ac:dyDescent="0.2">
      <c r="A76" s="46" t="s">
        <v>83</v>
      </c>
      <c r="B76" s="46">
        <v>4</v>
      </c>
      <c r="C76" s="46" t="s">
        <v>61</v>
      </c>
      <c r="D76" s="40" t="s">
        <v>84</v>
      </c>
      <c r="E76" s="40"/>
      <c r="F76" s="40"/>
      <c r="G76" s="40"/>
      <c r="H76" s="18"/>
      <c r="I76" s="18"/>
    </row>
    <row r="77" spans="1:12" s="41" customFormat="1" ht="12.95" hidden="1" customHeight="1" x14ac:dyDescent="0.2">
      <c r="A77" s="46" t="s">
        <v>65</v>
      </c>
      <c r="B77" s="48">
        <v>1</v>
      </c>
      <c r="C77" s="46"/>
      <c r="D77" s="46" t="s">
        <v>85</v>
      </c>
      <c r="E77" s="46"/>
      <c r="F77" s="46"/>
      <c r="G77" s="46"/>
      <c r="H77" s="49"/>
      <c r="I77" s="49"/>
    </row>
    <row r="78" spans="1:12" s="50" customFormat="1" ht="12.95" hidden="1" customHeight="1" x14ac:dyDescent="0.2">
      <c r="A78" s="40" t="s">
        <v>67</v>
      </c>
      <c r="B78" s="51">
        <f>Il_rms^2*B69/1000/B77</f>
        <v>1.8437260217544942E-7</v>
      </c>
      <c r="C78" s="40" t="s">
        <v>45</v>
      </c>
      <c r="D78" s="40" t="s">
        <v>86</v>
      </c>
      <c r="E78" s="40"/>
      <c r="F78" s="40"/>
      <c r="G78" s="40"/>
      <c r="H78" s="18"/>
      <c r="I78" s="18"/>
      <c r="J78" s="41"/>
      <c r="K78" s="41"/>
      <c r="L78" s="41"/>
    </row>
    <row r="79" spans="1:12" s="41" customFormat="1" ht="12.95" hidden="1" customHeight="1" x14ac:dyDescent="0.2">
      <c r="A79" s="40" t="s">
        <v>73</v>
      </c>
      <c r="B79" s="51">
        <f>B70*Fs*10^(-6)*((Iin+0.5*Irip)*B75+(Iin-0.5*Irip)*B76)</f>
        <v>2.2963661581137312E-2</v>
      </c>
      <c r="C79" s="40" t="s">
        <v>45</v>
      </c>
      <c r="D79" s="40" t="s">
        <v>87</v>
      </c>
      <c r="E79" s="40"/>
      <c r="F79" s="40"/>
      <c r="G79" s="40"/>
      <c r="H79" s="18"/>
      <c r="I79" s="18"/>
    </row>
    <row r="80" spans="1:12" s="41" customFormat="1" ht="12.75" hidden="1" customHeight="1" x14ac:dyDescent="0.2">
      <c r="A80" s="40" t="s">
        <v>88</v>
      </c>
      <c r="B80" s="51">
        <f>0.5*B71*Vin* Fs*10^(-6)*B77</f>
        <v>3.5999999999999997E-4</v>
      </c>
      <c r="C80" s="40" t="s">
        <v>45</v>
      </c>
      <c r="D80" s="40" t="s">
        <v>89</v>
      </c>
      <c r="E80" s="40"/>
      <c r="F80" s="40"/>
      <c r="G80" s="40"/>
      <c r="H80" s="18"/>
      <c r="I80" s="18"/>
      <c r="J80" s="50"/>
      <c r="K80" s="50"/>
      <c r="L80" s="50"/>
    </row>
    <row r="81" spans="1:12" s="41" customFormat="1" ht="12.95" hidden="1" customHeight="1" x14ac:dyDescent="0.2">
      <c r="A81" s="40" t="s">
        <v>75</v>
      </c>
      <c r="B81" s="51">
        <f>B74*10^(-9)*B77*Vin^2*Fs*1000/2</f>
        <v>7.1999999999999992E-19</v>
      </c>
      <c r="C81" s="40" t="s">
        <v>45</v>
      </c>
      <c r="D81" s="40" t="s">
        <v>90</v>
      </c>
      <c r="E81" s="40"/>
      <c r="F81" s="40"/>
      <c r="G81" s="40"/>
      <c r="H81" s="18"/>
      <c r="I81" s="18"/>
    </row>
    <row r="82" spans="1:12" s="41" customFormat="1" ht="12.95" hidden="1" customHeight="1" x14ac:dyDescent="0.2">
      <c r="A82" s="40" t="s">
        <v>91</v>
      </c>
      <c r="B82" s="51">
        <f>IF(Vin&lt;Vout, 0,B78+B79+B80+B81)</f>
        <v>0</v>
      </c>
      <c r="C82" s="40" t="s">
        <v>45</v>
      </c>
      <c r="D82" s="40" t="s">
        <v>92</v>
      </c>
      <c r="E82" s="40"/>
      <c r="F82" s="40"/>
      <c r="G82" s="40"/>
      <c r="H82" s="18"/>
      <c r="I82" s="18"/>
    </row>
    <row r="83" spans="1:12" s="41" customFormat="1" ht="12.95" hidden="1" customHeight="1" x14ac:dyDescent="0.2">
      <c r="A83" s="40"/>
      <c r="B83" s="40"/>
      <c r="C83" s="40"/>
      <c r="D83" s="40"/>
      <c r="E83" s="40"/>
      <c r="F83" s="40"/>
      <c r="G83" s="40"/>
      <c r="H83" s="18"/>
      <c r="I83" s="18"/>
    </row>
    <row r="84" spans="1:12" s="41" customFormat="1" ht="12.95" customHeight="1" x14ac:dyDescent="0.2">
      <c r="A84" s="38" t="s">
        <v>180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</row>
    <row r="85" spans="1:12" s="41" customFormat="1" ht="12.95" customHeight="1" x14ac:dyDescent="0.2">
      <c r="A85" s="18" t="s">
        <v>47</v>
      </c>
      <c r="B85" s="18">
        <f>B42</f>
        <v>25</v>
      </c>
      <c r="C85" s="18" t="s">
        <v>23</v>
      </c>
      <c r="D85" s="18"/>
      <c r="E85" s="18"/>
      <c r="F85" s="18"/>
      <c r="G85" s="18"/>
      <c r="H85" s="18"/>
      <c r="I85" s="18"/>
      <c r="J85" s="18"/>
      <c r="K85" s="18"/>
    </row>
    <row r="86" spans="1:12" s="41" customFormat="1" ht="12.95" customHeight="1" x14ac:dyDescent="0.2">
      <c r="A86" s="18" t="s">
        <v>48</v>
      </c>
      <c r="B86" s="18">
        <v>1.2</v>
      </c>
      <c r="C86" s="18" t="s">
        <v>4</v>
      </c>
      <c r="D86" s="18"/>
      <c r="E86" s="18"/>
      <c r="F86" s="18"/>
      <c r="G86" s="18"/>
      <c r="H86" s="18"/>
      <c r="I86" s="18"/>
      <c r="J86" s="18"/>
      <c r="K86" s="18"/>
    </row>
    <row r="87" spans="1:12" s="50" customFormat="1" ht="12.95" customHeight="1" x14ac:dyDescent="0.2">
      <c r="A87" s="18" t="s">
        <v>49</v>
      </c>
      <c r="B87" s="18">
        <v>0.2</v>
      </c>
      <c r="C87" s="18" t="s">
        <v>50</v>
      </c>
      <c r="D87" s="18"/>
      <c r="E87" s="18"/>
      <c r="F87" s="18"/>
      <c r="G87" s="18"/>
      <c r="H87" s="18"/>
      <c r="I87" s="18"/>
      <c r="J87" s="18"/>
      <c r="K87" s="18"/>
      <c r="L87" s="41"/>
    </row>
    <row r="88" spans="1:12" s="50" customFormat="1" ht="12.95" customHeight="1" x14ac:dyDescent="0.2">
      <c r="A88" s="18" t="s">
        <v>51</v>
      </c>
      <c r="B88" s="69">
        <f>+E88/Ron_u</f>
        <v>12</v>
      </c>
      <c r="C88" s="18" t="s">
        <v>50</v>
      </c>
      <c r="D88" s="18" t="s">
        <v>52</v>
      </c>
      <c r="E88" s="18">
        <v>300</v>
      </c>
      <c r="F88" s="18" t="s">
        <v>53</v>
      </c>
      <c r="G88" s="18"/>
      <c r="H88" s="18"/>
      <c r="I88" s="18"/>
      <c r="J88" s="18"/>
      <c r="K88" s="18"/>
      <c r="L88" s="41"/>
    </row>
    <row r="89" spans="1:12" s="41" customFormat="1" ht="12.95" customHeight="1" x14ac:dyDescent="0.2">
      <c r="A89" s="18" t="s">
        <v>54</v>
      </c>
      <c r="B89" s="70">
        <f>+E89/Ron_u</f>
        <v>1.6</v>
      </c>
      <c r="C89" s="18" t="s">
        <v>55</v>
      </c>
      <c r="D89" s="18" t="s">
        <v>56</v>
      </c>
      <c r="E89" s="71">
        <v>40</v>
      </c>
      <c r="F89" s="18" t="s">
        <v>57</v>
      </c>
      <c r="G89" s="18"/>
      <c r="H89" s="18"/>
      <c r="I89" s="18"/>
      <c r="J89" s="18"/>
      <c r="K89" s="49"/>
      <c r="L89" s="50"/>
    </row>
    <row r="90" spans="1:12" s="41" customFormat="1" ht="12.95" customHeight="1" x14ac:dyDescent="0.2">
      <c r="A90" s="18" t="s">
        <v>58</v>
      </c>
      <c r="B90" s="70">
        <f>+E90/Ron_u</f>
        <v>0.28000000000000003</v>
      </c>
      <c r="C90" s="18" t="s">
        <v>55</v>
      </c>
      <c r="D90" s="18" t="s">
        <v>59</v>
      </c>
      <c r="E90" s="71">
        <v>7</v>
      </c>
      <c r="F90" s="18" t="s">
        <v>57</v>
      </c>
      <c r="G90" s="18"/>
      <c r="H90" s="18"/>
      <c r="I90" s="18"/>
      <c r="J90" s="18"/>
      <c r="K90" s="49"/>
      <c r="L90" s="50"/>
    </row>
    <row r="91" spans="1:12" s="41" customFormat="1" ht="12.95" customHeight="1" x14ac:dyDescent="0.2">
      <c r="A91" s="18" t="s">
        <v>60</v>
      </c>
      <c r="B91" s="18">
        <v>4</v>
      </c>
      <c r="C91" s="18" t="s">
        <v>61</v>
      </c>
      <c r="D91" s="18" t="s">
        <v>62</v>
      </c>
      <c r="E91" s="18"/>
      <c r="F91" s="18"/>
      <c r="G91" s="18"/>
      <c r="H91" s="18"/>
      <c r="I91" s="18"/>
      <c r="J91" s="18"/>
      <c r="K91" s="18"/>
    </row>
    <row r="92" spans="1:12" s="41" customFormat="1" ht="12.95" customHeight="1" x14ac:dyDescent="0.2">
      <c r="A92" s="49" t="s">
        <v>63</v>
      </c>
      <c r="B92" s="49">
        <v>4</v>
      </c>
      <c r="C92" s="49" t="s">
        <v>61</v>
      </c>
      <c r="D92" s="18" t="s">
        <v>64</v>
      </c>
      <c r="E92" s="18"/>
      <c r="F92" s="18"/>
      <c r="G92" s="18"/>
      <c r="H92" s="18"/>
      <c r="I92" s="18"/>
      <c r="J92" s="18"/>
      <c r="K92" s="18"/>
    </row>
    <row r="93" spans="1:12" s="41" customFormat="1" ht="12.95" customHeight="1" x14ac:dyDescent="0.2">
      <c r="A93" s="72" t="s">
        <v>65</v>
      </c>
      <c r="B93" s="73">
        <v>1</v>
      </c>
      <c r="C93" s="49"/>
      <c r="D93" s="49" t="s">
        <v>66</v>
      </c>
      <c r="E93" s="49"/>
      <c r="F93" s="49"/>
      <c r="G93" s="49"/>
      <c r="H93" s="49"/>
      <c r="I93" s="49"/>
      <c r="J93" s="18"/>
      <c r="K93" s="18"/>
    </row>
    <row r="94" spans="1:12" s="41" customFormat="1" ht="12.95" customHeight="1" x14ac:dyDescent="0.2">
      <c r="A94" s="18" t="s">
        <v>67</v>
      </c>
      <c r="B94" s="21">
        <f>Iu_rms^2*B85/B93/1000</f>
        <v>0.14013671117247661</v>
      </c>
      <c r="C94" s="18" t="s">
        <v>45</v>
      </c>
      <c r="D94" s="18" t="s">
        <v>68</v>
      </c>
      <c r="E94" s="18"/>
      <c r="F94" s="18"/>
      <c r="G94" s="18"/>
      <c r="H94" s="18"/>
      <c r="I94" s="18"/>
      <c r="J94" s="18"/>
      <c r="K94" s="18"/>
    </row>
    <row r="95" spans="1:12" s="41" customFormat="1" ht="12.95" customHeight="1" x14ac:dyDescent="0.2">
      <c r="A95" s="18" t="s">
        <v>69</v>
      </c>
      <c r="B95" s="74">
        <f>ABS(Vout*(Iin-0.5*Irip)*B91*10^(-9)*Fs*10^(3)/2)</f>
        <v>1.7306504894000343E-2</v>
      </c>
      <c r="C95" s="18" t="s">
        <v>45</v>
      </c>
      <c r="D95" s="18" t="s">
        <v>93</v>
      </c>
      <c r="E95" s="18"/>
      <c r="F95" s="18"/>
      <c r="G95" s="18"/>
      <c r="H95" s="18"/>
      <c r="I95" s="18"/>
      <c r="J95" s="18"/>
      <c r="K95" s="18"/>
    </row>
    <row r="96" spans="1:12" s="41" customFormat="1" ht="12.95" customHeight="1" x14ac:dyDescent="0.2">
      <c r="A96" s="18" t="s">
        <v>71</v>
      </c>
      <c r="B96" s="21">
        <f>Vout*(Iin+0.5*Irip)*B92*10^(-9)*Fs*10^(3)/2</f>
        <v>3.2448095198463846E-2</v>
      </c>
      <c r="C96" s="18" t="s">
        <v>45</v>
      </c>
      <c r="D96" s="18" t="s">
        <v>94</v>
      </c>
      <c r="E96" s="18"/>
      <c r="F96" s="18"/>
      <c r="G96" s="18"/>
      <c r="H96" s="18"/>
      <c r="I96" s="18"/>
      <c r="J96" s="49"/>
      <c r="K96" s="18"/>
    </row>
    <row r="97" spans="1:12" s="41" customFormat="1" ht="12.95" customHeight="1" x14ac:dyDescent="0.2">
      <c r="A97" s="18" t="s">
        <v>73</v>
      </c>
      <c r="B97" s="21">
        <f>B86*Fs*10^(-6)*((Iin+0.5*Irip)*B91+(Iin-0.5*Irip)*B92)</f>
        <v>2.2963661581137312E-2</v>
      </c>
      <c r="C97" s="18" t="s">
        <v>45</v>
      </c>
      <c r="D97" s="18" t="s">
        <v>87</v>
      </c>
      <c r="E97" s="18"/>
      <c r="F97" s="18"/>
      <c r="G97" s="18"/>
      <c r="H97" s="18"/>
      <c r="I97" s="18"/>
      <c r="J97" s="18"/>
      <c r="K97" s="18"/>
    </row>
    <row r="98" spans="1:12" s="41" customFormat="1" ht="12.95" customHeight="1" x14ac:dyDescent="0.2">
      <c r="A98" s="18" t="s">
        <v>88</v>
      </c>
      <c r="B98" s="21">
        <f>B87*Vout* Fs*10^(-6)*B93</f>
        <v>9.3599999999999998E-4</v>
      </c>
      <c r="C98" s="18" t="s">
        <v>45</v>
      </c>
      <c r="D98" s="18" t="s">
        <v>95</v>
      </c>
      <c r="E98" s="18"/>
      <c r="F98" s="18"/>
      <c r="G98" s="18"/>
      <c r="H98" s="18"/>
      <c r="I98" s="18"/>
      <c r="J98" s="18"/>
      <c r="K98" s="18"/>
    </row>
    <row r="99" spans="1:12" s="41" customFormat="1" ht="12.95" customHeight="1" x14ac:dyDescent="0.2">
      <c r="A99" s="18" t="s">
        <v>75</v>
      </c>
      <c r="B99" s="21">
        <f>0.5*B90*10^(-9)*Vout^2*Fs*10^3*B93</f>
        <v>3.4070400000000014E-3</v>
      </c>
      <c r="C99" s="18" t="s">
        <v>45</v>
      </c>
      <c r="D99" s="18" t="s">
        <v>90</v>
      </c>
      <c r="E99" s="18"/>
      <c r="F99" s="18"/>
      <c r="G99" s="18"/>
      <c r="H99" s="18"/>
      <c r="I99" s="18"/>
      <c r="J99" s="18"/>
      <c r="K99" s="18"/>
    </row>
    <row r="100" spans="1:12" s="41" customFormat="1" ht="12.95" customHeight="1" x14ac:dyDescent="0.2">
      <c r="A100" s="18" t="s">
        <v>77</v>
      </c>
      <c r="B100" s="21">
        <f>IF(Vin&lt;Vout, SUM(B94:B99),Ron_u/1000*(Iout^2+Irip^2/12))</f>
        <v>0.21719801284607809</v>
      </c>
      <c r="C100" s="18" t="s">
        <v>45</v>
      </c>
      <c r="D100" s="18" t="s">
        <v>78</v>
      </c>
      <c r="E100" s="18"/>
      <c r="F100" s="18"/>
      <c r="G100" s="18"/>
      <c r="H100" s="18"/>
      <c r="I100" s="18"/>
      <c r="J100" s="18"/>
      <c r="K100" s="18"/>
    </row>
    <row r="101" spans="1:12" s="41" customFormat="1" ht="12.95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</row>
    <row r="102" spans="1:12" s="41" customFormat="1" ht="12.95" customHeight="1" x14ac:dyDescent="0.2">
      <c r="A102" s="38" t="s">
        <v>181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</row>
    <row r="103" spans="1:12" s="37" customFormat="1" ht="12.95" customHeight="1" x14ac:dyDescent="0.2">
      <c r="A103" s="18" t="s">
        <v>80</v>
      </c>
      <c r="B103" s="75">
        <f>B45</f>
        <v>35</v>
      </c>
      <c r="C103" s="18" t="s">
        <v>23</v>
      </c>
      <c r="D103" s="18"/>
      <c r="E103" s="18"/>
      <c r="F103" s="18"/>
      <c r="G103" s="18"/>
      <c r="H103" s="18"/>
      <c r="I103" s="18"/>
      <c r="J103" s="21"/>
      <c r="K103" s="18"/>
      <c r="L103" s="41"/>
    </row>
    <row r="104" spans="1:12" ht="12.95" customHeight="1" x14ac:dyDescent="0.2">
      <c r="A104" s="18" t="s">
        <v>48</v>
      </c>
      <c r="B104" s="18">
        <v>1.2</v>
      </c>
      <c r="C104" s="18" t="s">
        <v>4</v>
      </c>
      <c r="D104" s="18"/>
      <c r="E104" s="18"/>
      <c r="F104" s="18"/>
      <c r="G104" s="18"/>
      <c r="H104" s="18"/>
      <c r="I104" s="18"/>
      <c r="J104" s="18"/>
      <c r="K104" s="18"/>
      <c r="L104" s="41"/>
    </row>
    <row r="105" spans="1:12" ht="12.95" customHeight="1" x14ac:dyDescent="0.2">
      <c r="A105" s="18" t="s">
        <v>49</v>
      </c>
      <c r="B105" s="18">
        <v>0.2</v>
      </c>
      <c r="C105" s="18" t="s">
        <v>50</v>
      </c>
      <c r="D105" s="18"/>
      <c r="E105" s="18"/>
      <c r="F105" s="18"/>
      <c r="G105" s="18"/>
      <c r="H105" s="18"/>
      <c r="I105" s="18"/>
      <c r="J105" s="18"/>
      <c r="K105" s="13"/>
      <c r="L105" s="37"/>
    </row>
    <row r="106" spans="1:12" ht="12.95" customHeight="1" x14ac:dyDescent="0.2">
      <c r="A106" s="18" t="s">
        <v>51</v>
      </c>
      <c r="B106" s="18">
        <f>+E106/Ron_l</f>
        <v>8.5714285714285712</v>
      </c>
      <c r="C106" s="18" t="s">
        <v>50</v>
      </c>
      <c r="D106" s="18" t="s">
        <v>52</v>
      </c>
      <c r="E106" s="18">
        <v>300</v>
      </c>
      <c r="F106" s="18" t="s">
        <v>53</v>
      </c>
      <c r="G106" s="18"/>
      <c r="H106" s="18"/>
      <c r="I106" s="18"/>
      <c r="J106" s="18"/>
      <c r="K106" s="13"/>
    </row>
    <row r="107" spans="1:12" ht="12.95" customHeight="1" x14ac:dyDescent="0.2">
      <c r="A107" s="18" t="s">
        <v>54</v>
      </c>
      <c r="B107" s="76">
        <f>+E107/Ron_l</f>
        <v>1.1428571428571428</v>
      </c>
      <c r="C107" s="18" t="s">
        <v>55</v>
      </c>
      <c r="D107" s="18" t="s">
        <v>56</v>
      </c>
      <c r="E107" s="71">
        <v>40</v>
      </c>
      <c r="F107" s="18" t="s">
        <v>57</v>
      </c>
      <c r="G107" s="18"/>
      <c r="H107" s="18"/>
      <c r="I107" s="18"/>
      <c r="J107" s="18"/>
      <c r="K107" s="13"/>
    </row>
    <row r="108" spans="1:12" ht="12.95" customHeight="1" x14ac:dyDescent="0.2">
      <c r="A108" s="18" t="s">
        <v>58</v>
      </c>
      <c r="B108" s="70">
        <f>+E108/Ron_l</f>
        <v>0.2</v>
      </c>
      <c r="C108" s="18" t="s">
        <v>55</v>
      </c>
      <c r="D108" s="18" t="s">
        <v>59</v>
      </c>
      <c r="E108" s="71">
        <v>7</v>
      </c>
      <c r="F108" s="18" t="s">
        <v>57</v>
      </c>
      <c r="G108" s="18"/>
      <c r="H108" s="18"/>
      <c r="I108" s="18"/>
      <c r="J108" s="18"/>
      <c r="K108" s="13"/>
    </row>
    <row r="109" spans="1:12" ht="12.95" customHeight="1" x14ac:dyDescent="0.2">
      <c r="A109" s="18" t="s">
        <v>81</v>
      </c>
      <c r="B109" s="18">
        <v>4</v>
      </c>
      <c r="C109" s="18" t="s">
        <v>61</v>
      </c>
      <c r="D109" s="18" t="s">
        <v>82</v>
      </c>
      <c r="E109" s="18"/>
      <c r="F109" s="18"/>
      <c r="G109" s="18"/>
      <c r="H109" s="18"/>
      <c r="I109" s="18"/>
      <c r="J109" s="18"/>
      <c r="K109" s="13"/>
    </row>
    <row r="110" spans="1:12" ht="12.95" customHeight="1" x14ac:dyDescent="0.2">
      <c r="A110" s="49" t="s">
        <v>83</v>
      </c>
      <c r="B110" s="49">
        <v>4</v>
      </c>
      <c r="C110" s="49" t="s">
        <v>61</v>
      </c>
      <c r="D110" s="18" t="s">
        <v>84</v>
      </c>
      <c r="E110" s="18"/>
      <c r="F110" s="18"/>
      <c r="G110" s="18"/>
      <c r="H110" s="18"/>
      <c r="I110" s="18"/>
      <c r="J110" s="18"/>
      <c r="K110" s="13"/>
    </row>
    <row r="111" spans="1:12" ht="12.95" customHeight="1" x14ac:dyDescent="0.2">
      <c r="A111" s="49" t="s">
        <v>65</v>
      </c>
      <c r="B111" s="73">
        <v>1</v>
      </c>
      <c r="C111" s="49"/>
      <c r="D111" s="49" t="s">
        <v>85</v>
      </c>
      <c r="E111" s="49"/>
      <c r="F111" s="49"/>
      <c r="G111" s="49"/>
      <c r="H111" s="49"/>
      <c r="I111" s="49"/>
      <c r="J111" s="18"/>
      <c r="K111" s="13"/>
    </row>
    <row r="112" spans="1:12" ht="12.95" customHeight="1" x14ac:dyDescent="0.2">
      <c r="A112" s="18" t="s">
        <v>67</v>
      </c>
      <c r="B112" s="21">
        <f>Il_rms^2*B103/1000/B111</f>
        <v>6.4530410761407295E-2</v>
      </c>
      <c r="C112" s="18" t="s">
        <v>45</v>
      </c>
      <c r="D112" s="18" t="s">
        <v>86</v>
      </c>
      <c r="E112" s="18"/>
      <c r="F112" s="18"/>
      <c r="G112" s="18"/>
      <c r="H112" s="18"/>
      <c r="I112" s="18"/>
      <c r="J112" s="18"/>
      <c r="K112" s="13"/>
    </row>
    <row r="113" spans="1:11" ht="12.95" customHeight="1" x14ac:dyDescent="0.2">
      <c r="A113" s="18" t="s">
        <v>73</v>
      </c>
      <c r="B113" s="21">
        <f>B104*Fs*10^(-6)*((Iin+0.5*Irip)*B109+(Iin-0.5*Irip)*B110)</f>
        <v>2.2963661581137312E-2</v>
      </c>
      <c r="C113" s="18" t="s">
        <v>45</v>
      </c>
      <c r="D113" s="18" t="s">
        <v>87</v>
      </c>
      <c r="E113" s="18"/>
      <c r="F113" s="18"/>
      <c r="G113" s="18"/>
      <c r="H113" s="18"/>
      <c r="I113" s="18"/>
      <c r="J113" s="18"/>
      <c r="K113" s="13"/>
    </row>
    <row r="114" spans="1:11" ht="12.95" customHeight="1" x14ac:dyDescent="0.2">
      <c r="A114" s="18" t="s">
        <v>88</v>
      </c>
      <c r="B114" s="21">
        <f>B105*Vout* Fs*10^(-6)*B111</f>
        <v>9.3599999999999998E-4</v>
      </c>
      <c r="C114" s="18" t="s">
        <v>45</v>
      </c>
      <c r="D114" s="18" t="s">
        <v>89</v>
      </c>
      <c r="E114" s="18"/>
      <c r="F114" s="18"/>
      <c r="G114" s="18"/>
      <c r="H114" s="18"/>
      <c r="I114" s="18"/>
      <c r="J114" s="49"/>
      <c r="K114" s="13"/>
    </row>
    <row r="115" spans="1:11" ht="12.95" customHeight="1" x14ac:dyDescent="0.2">
      <c r="A115" s="18" t="s">
        <v>75</v>
      </c>
      <c r="B115" s="21">
        <f>B108*10^(-9)*B111*Vout^2*Fs*1000/2</f>
        <v>2.4336000000000006E-3</v>
      </c>
      <c r="C115" s="18" t="s">
        <v>45</v>
      </c>
      <c r="D115" s="18" t="s">
        <v>90</v>
      </c>
      <c r="E115" s="18"/>
      <c r="F115" s="18"/>
      <c r="G115" s="18"/>
      <c r="H115" s="18"/>
      <c r="I115" s="18"/>
      <c r="J115" s="18"/>
      <c r="K115" s="13"/>
    </row>
    <row r="116" spans="1:11" ht="12.95" customHeight="1" x14ac:dyDescent="0.2">
      <c r="A116" s="18" t="s">
        <v>91</v>
      </c>
      <c r="B116" s="21">
        <f>IF(Vin&lt;Vout,B112+B113+B114+B115,0)</f>
        <v>9.086367234254461E-2</v>
      </c>
      <c r="C116" s="18" t="s">
        <v>45</v>
      </c>
      <c r="D116" s="18" t="s">
        <v>92</v>
      </c>
      <c r="E116" s="18"/>
      <c r="F116" s="18"/>
      <c r="G116" s="18"/>
      <c r="H116" s="18"/>
      <c r="I116" s="18"/>
      <c r="J116" s="18"/>
      <c r="K116" s="13"/>
    </row>
    <row r="117" spans="1:11" ht="12.95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3"/>
    </row>
    <row r="118" spans="1:11" ht="12.95" customHeight="1" x14ac:dyDescent="0.2">
      <c r="A118" s="77" t="s">
        <v>96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3"/>
    </row>
    <row r="119" spans="1:11" ht="12.95" customHeight="1" x14ac:dyDescent="0.2">
      <c r="A119" s="18" t="s">
        <v>97</v>
      </c>
      <c r="B119" s="18">
        <f>IF(Vin&lt;5.7, Vin, 5)</f>
        <v>4</v>
      </c>
      <c r="C119" s="18" t="s">
        <v>4</v>
      </c>
      <c r="D119" s="18"/>
      <c r="E119" s="18"/>
      <c r="F119" s="18"/>
      <c r="G119" s="18"/>
      <c r="H119" s="18"/>
      <c r="I119" s="18"/>
      <c r="J119" s="18"/>
      <c r="K119" s="13"/>
    </row>
    <row r="120" spans="1:11" ht="12.95" customHeight="1" x14ac:dyDescent="0.2">
      <c r="A120" s="49" t="s">
        <v>98</v>
      </c>
      <c r="B120" s="49">
        <f>IF(Vin&lt;5.7, Vin, 5)</f>
        <v>4</v>
      </c>
      <c r="C120" s="49" t="s">
        <v>4</v>
      </c>
      <c r="D120" s="49"/>
      <c r="E120" s="49"/>
      <c r="F120" s="49"/>
      <c r="G120" s="49"/>
      <c r="H120" s="49"/>
      <c r="I120" s="49"/>
      <c r="J120" s="18"/>
      <c r="K120" s="13"/>
    </row>
    <row r="121" spans="1:11" ht="12.95" customHeight="1" x14ac:dyDescent="0.2">
      <c r="A121" s="49" t="s">
        <v>99</v>
      </c>
      <c r="B121" s="78">
        <v>0.02</v>
      </c>
      <c r="C121" s="49" t="s">
        <v>100</v>
      </c>
      <c r="D121" s="49" t="s">
        <v>101</v>
      </c>
      <c r="E121" s="49"/>
      <c r="F121" s="49"/>
      <c r="G121" s="49"/>
      <c r="H121" s="49"/>
      <c r="I121" s="49"/>
      <c r="J121" s="18"/>
      <c r="K121" s="13"/>
    </row>
    <row r="122" spans="1:11" ht="12.95" customHeight="1" x14ac:dyDescent="0.2">
      <c r="A122" s="18" t="s">
        <v>102</v>
      </c>
      <c r="B122" s="21">
        <f>Fs*B119*B55*10^(-6)*B60</f>
        <v>3.5999999999999991E-19</v>
      </c>
      <c r="C122" s="18" t="s">
        <v>45</v>
      </c>
      <c r="D122" s="18" t="s">
        <v>103</v>
      </c>
      <c r="E122" s="18"/>
      <c r="F122" s="18"/>
      <c r="G122" s="18"/>
      <c r="H122" s="18"/>
      <c r="I122" s="18"/>
      <c r="J122" s="18"/>
      <c r="K122" s="13"/>
    </row>
    <row r="123" spans="1:11" ht="12.95" customHeight="1" x14ac:dyDescent="0.2">
      <c r="A123" s="18" t="s">
        <v>104</v>
      </c>
      <c r="B123" s="21">
        <f>Fs*B120*B72*10^(-6)*B77</f>
        <v>3.5999999999999991E-19</v>
      </c>
      <c r="C123" s="18" t="s">
        <v>45</v>
      </c>
      <c r="D123" s="18" t="s">
        <v>105</v>
      </c>
      <c r="E123" s="18"/>
      <c r="F123" s="18"/>
      <c r="G123" s="18"/>
      <c r="H123" s="18"/>
      <c r="I123" s="18"/>
      <c r="J123" s="49"/>
      <c r="K123" s="13"/>
    </row>
    <row r="124" spans="1:11" ht="12.95" customHeight="1" x14ac:dyDescent="0.2">
      <c r="A124" s="18" t="s">
        <v>106</v>
      </c>
      <c r="B124" s="21">
        <f>Fs*B119*B88*10^(-6)*B93</f>
        <v>4.3199999999999995E-2</v>
      </c>
      <c r="C124" s="18" t="s">
        <v>45</v>
      </c>
      <c r="D124" s="18" t="s">
        <v>103</v>
      </c>
      <c r="E124" s="18"/>
      <c r="F124" s="18"/>
      <c r="G124" s="18"/>
      <c r="H124" s="18"/>
      <c r="I124" s="18"/>
      <c r="J124" s="49"/>
      <c r="K124" s="13"/>
    </row>
    <row r="125" spans="1:11" ht="12.95" customHeight="1" x14ac:dyDescent="0.2">
      <c r="A125" s="18" t="s">
        <v>107</v>
      </c>
      <c r="B125" s="21">
        <f>Fs*B120*B106*10^(-6)*B111</f>
        <v>3.0857142857142854E-2</v>
      </c>
      <c r="C125" s="18" t="s">
        <v>45</v>
      </c>
      <c r="D125" s="18" t="s">
        <v>105</v>
      </c>
      <c r="E125" s="18"/>
      <c r="F125" s="18"/>
      <c r="G125" s="18"/>
      <c r="H125" s="18"/>
      <c r="I125" s="18"/>
      <c r="J125" s="18"/>
      <c r="K125" s="13"/>
    </row>
    <row r="126" spans="1:11" ht="12.95" customHeight="1" x14ac:dyDescent="0.2">
      <c r="A126" s="18" t="s">
        <v>108</v>
      </c>
      <c r="B126" s="21">
        <f>IF(Vin&lt;Vout, B124+B125+B121*B120*0.001, B122+B123+B121*B120*0.001)</f>
        <v>7.4137142857142846E-2</v>
      </c>
      <c r="C126" s="18" t="s">
        <v>45</v>
      </c>
      <c r="D126" s="18" t="s">
        <v>109</v>
      </c>
      <c r="E126" s="18"/>
      <c r="F126" s="18"/>
      <c r="G126" s="18"/>
      <c r="H126" s="18"/>
      <c r="I126" s="18"/>
      <c r="J126" s="49"/>
      <c r="K126" s="13"/>
    </row>
    <row r="127" spans="1:11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3"/>
    </row>
    <row r="128" spans="1:11" x14ac:dyDescent="0.2">
      <c r="A128" s="77" t="s">
        <v>110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3"/>
    </row>
    <row r="129" spans="1:11" x14ac:dyDescent="0.2">
      <c r="A129" s="18" t="s">
        <v>111</v>
      </c>
      <c r="B129" s="21">
        <f>IF(Vin&lt;Vout, 1.68*10^(-9)*(Fs)^1.35*(57.8*0.5*Irip)^2.263, 0)</f>
        <v>9.8237957908979726E-2</v>
      </c>
      <c r="C129" s="18" t="s">
        <v>45</v>
      </c>
      <c r="D129" s="18" t="s">
        <v>112</v>
      </c>
      <c r="E129" s="18"/>
      <c r="F129" s="18"/>
      <c r="G129" s="18"/>
      <c r="H129" s="18"/>
      <c r="I129" s="18"/>
      <c r="J129" s="18"/>
      <c r="K129" s="13"/>
    </row>
    <row r="130" spans="1:11" x14ac:dyDescent="0.2">
      <c r="A130" s="18" t="s">
        <v>113</v>
      </c>
      <c r="B130" s="21">
        <f>DCR/1000*(Iin^2+Irip^2/12)</f>
        <v>4.3692862700156904E-2</v>
      </c>
      <c r="C130" s="18" t="s">
        <v>45</v>
      </c>
      <c r="D130" s="18" t="s">
        <v>114</v>
      </c>
      <c r="E130" s="18"/>
      <c r="F130" s="18"/>
      <c r="G130" s="18"/>
      <c r="H130" s="18"/>
      <c r="I130" s="18"/>
      <c r="J130" s="18"/>
      <c r="K130" s="13"/>
    </row>
    <row r="131" spans="1:11" x14ac:dyDescent="0.2">
      <c r="A131" s="18" t="s">
        <v>115</v>
      </c>
      <c r="B131" s="21">
        <f>B129+B130</f>
        <v>0.14193082060913664</v>
      </c>
      <c r="C131" s="18" t="s">
        <v>45</v>
      </c>
      <c r="D131" s="18" t="s">
        <v>116</v>
      </c>
      <c r="E131" s="18"/>
      <c r="F131" s="18"/>
      <c r="G131" s="18"/>
      <c r="H131" s="18"/>
      <c r="I131" s="18"/>
      <c r="J131" s="18"/>
      <c r="K131" s="13"/>
    </row>
    <row r="132" spans="1:11" x14ac:dyDescent="0.2">
      <c r="A132" s="18"/>
      <c r="B132" s="21"/>
      <c r="C132" s="18"/>
      <c r="D132" s="18"/>
      <c r="E132" s="18"/>
      <c r="F132" s="18"/>
      <c r="G132" s="18"/>
      <c r="H132" s="18"/>
      <c r="I132" s="18"/>
      <c r="J132" s="18"/>
      <c r="K132" s="13"/>
    </row>
    <row r="133" spans="1:11" x14ac:dyDescent="0.2">
      <c r="A133" s="77" t="s">
        <v>117</v>
      </c>
      <c r="B133" s="18"/>
      <c r="C133" s="18"/>
      <c r="D133" s="18"/>
      <c r="E133" s="18"/>
      <c r="F133" s="18"/>
      <c r="G133" s="18"/>
      <c r="H133" s="18"/>
      <c r="I133" s="18"/>
      <c r="J133" s="18"/>
      <c r="K133" s="13"/>
    </row>
    <row r="134" spans="1:11" x14ac:dyDescent="0.2">
      <c r="A134" s="18" t="s">
        <v>118</v>
      </c>
      <c r="B134" s="79">
        <f>IF(Vin&lt;Vout, Il_rms^2*ESR/ncap/1000, (0.5*Irip/SQRT(3))^2*B33/B31/1000)</f>
        <v>5.531178065263482E-4</v>
      </c>
      <c r="C134" s="18" t="s">
        <v>45</v>
      </c>
      <c r="D134" s="18" t="s">
        <v>119</v>
      </c>
      <c r="E134" s="18"/>
      <c r="F134" s="18"/>
      <c r="G134" s="18"/>
      <c r="H134" s="18"/>
      <c r="I134" s="18"/>
      <c r="J134" s="18"/>
      <c r="K134" s="13"/>
    </row>
    <row r="135" spans="1:11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3"/>
    </row>
    <row r="136" spans="1:11" x14ac:dyDescent="0.2">
      <c r="A136" s="38" t="s">
        <v>41</v>
      </c>
      <c r="B136" s="80">
        <f>+B134+B131+B126+B116+B100+B82+B66</f>
        <v>0.52468356009893313</v>
      </c>
      <c r="C136" s="77" t="s">
        <v>45</v>
      </c>
      <c r="D136" s="18"/>
      <c r="E136" s="18"/>
      <c r="F136" s="18"/>
      <c r="G136" s="18"/>
      <c r="H136" s="18"/>
      <c r="I136" s="18"/>
      <c r="J136" s="18"/>
      <c r="K136" s="13"/>
    </row>
    <row r="137" spans="1:11" x14ac:dyDescent="0.2">
      <c r="A137" s="38" t="s">
        <v>43</v>
      </c>
      <c r="B137" s="80">
        <f>Vout*Iout/(Vout*Iout+B136)*100</f>
        <v>95.197265374209323</v>
      </c>
      <c r="C137" s="77" t="s">
        <v>13</v>
      </c>
      <c r="D137" s="18"/>
      <c r="E137" s="18"/>
      <c r="F137" s="18"/>
      <c r="G137" s="18"/>
      <c r="H137" s="18"/>
      <c r="I137" s="18"/>
      <c r="J137" s="18"/>
      <c r="K137" s="13"/>
    </row>
    <row r="138" spans="1:11" x14ac:dyDescent="0.2">
      <c r="A138" s="3"/>
      <c r="B138" s="3"/>
      <c r="C138" s="3"/>
      <c r="D138" s="3"/>
      <c r="E138" s="3"/>
      <c r="F138" s="3"/>
      <c r="G138" s="13"/>
      <c r="H138" s="13"/>
      <c r="I138" s="13"/>
      <c r="J138" s="41"/>
    </row>
    <row r="139" spans="1:11" x14ac:dyDescent="0.2">
      <c r="A139" s="3"/>
      <c r="B139" s="3"/>
      <c r="C139" s="3"/>
      <c r="D139" s="3"/>
      <c r="E139" s="3"/>
      <c r="F139" s="3"/>
      <c r="G139" s="13"/>
      <c r="H139" s="13"/>
      <c r="I139" s="13"/>
      <c r="J139" s="41"/>
    </row>
    <row r="140" spans="1:11" x14ac:dyDescent="0.2">
      <c r="A140" s="3"/>
      <c r="B140" s="3"/>
      <c r="C140" s="3"/>
      <c r="D140" s="3"/>
      <c r="E140" s="3"/>
      <c r="F140" s="3"/>
      <c r="G140" s="13"/>
      <c r="H140" s="13"/>
      <c r="I140" s="13"/>
      <c r="J140" s="41"/>
    </row>
    <row r="141" spans="1:11" x14ac:dyDescent="0.2">
      <c r="A141" s="3"/>
      <c r="B141" s="57"/>
      <c r="C141" s="3"/>
      <c r="D141" s="3"/>
      <c r="E141" s="3"/>
      <c r="F141" s="3"/>
      <c r="G141" s="13"/>
      <c r="H141" s="13"/>
      <c r="I141" s="13"/>
      <c r="J141" s="37"/>
    </row>
    <row r="142" spans="1:11" x14ac:dyDescent="0.2">
      <c r="A142" s="3"/>
      <c r="B142" s="3"/>
      <c r="C142" s="3"/>
      <c r="D142" s="3"/>
      <c r="E142" s="3"/>
      <c r="F142" s="3"/>
    </row>
    <row r="143" spans="1:11" x14ac:dyDescent="0.2">
      <c r="A143" s="3"/>
      <c r="B143" s="3"/>
      <c r="C143" s="3"/>
      <c r="D143" s="3"/>
      <c r="E143" s="3"/>
      <c r="F143" s="3"/>
    </row>
    <row r="144" spans="1:11" x14ac:dyDescent="0.2">
      <c r="A144" s="3"/>
      <c r="B144" s="3"/>
      <c r="C144" s="3"/>
      <c r="D144" s="3"/>
      <c r="E144" s="3"/>
      <c r="F144" s="3"/>
    </row>
    <row r="145" spans="1:6" x14ac:dyDescent="0.2">
      <c r="A145" s="3"/>
      <c r="B145" s="3"/>
      <c r="C145" s="3"/>
      <c r="D145" s="3"/>
      <c r="E145" s="3"/>
      <c r="F145" s="3"/>
    </row>
    <row r="146" spans="1:6" x14ac:dyDescent="0.2">
      <c r="A146" s="3"/>
      <c r="B146" s="3"/>
      <c r="C146" s="3"/>
      <c r="D146" s="3"/>
      <c r="E146" s="3"/>
      <c r="F146" s="3"/>
    </row>
    <row r="147" spans="1:6" x14ac:dyDescent="0.2">
      <c r="A147" s="3"/>
      <c r="B147" s="3"/>
      <c r="C147" s="3"/>
      <c r="D147" s="3"/>
      <c r="E147" s="3"/>
      <c r="F147" s="3"/>
    </row>
    <row r="148" spans="1:6" x14ac:dyDescent="0.2">
      <c r="A148" s="3"/>
      <c r="B148" s="3"/>
      <c r="C148" s="3"/>
      <c r="D148" s="3"/>
      <c r="E148" s="3"/>
      <c r="F148" s="3"/>
    </row>
    <row r="149" spans="1:6" x14ac:dyDescent="0.2">
      <c r="A149" s="3"/>
      <c r="B149" s="3"/>
      <c r="C149" s="3"/>
      <c r="D149" s="3"/>
      <c r="E149" s="3"/>
      <c r="F149" s="3"/>
    </row>
    <row r="150" spans="1:6" x14ac:dyDescent="0.2">
      <c r="A150" s="3"/>
      <c r="B150" s="3"/>
      <c r="C150" s="3"/>
      <c r="D150" s="3"/>
      <c r="E150" s="3"/>
      <c r="F150" s="3"/>
    </row>
    <row r="151" spans="1:6" x14ac:dyDescent="0.2">
      <c r="A151" s="3"/>
      <c r="B151" s="3"/>
      <c r="C151" s="3"/>
      <c r="D151" s="3"/>
      <c r="E151" s="3"/>
      <c r="F151" s="3"/>
    </row>
    <row r="152" spans="1:6" x14ac:dyDescent="0.2">
      <c r="A152" s="3"/>
      <c r="B152" s="3"/>
      <c r="C152" s="3"/>
      <c r="D152" s="3"/>
      <c r="E152" s="3"/>
      <c r="F152" s="3"/>
    </row>
    <row r="153" spans="1:6" x14ac:dyDescent="0.2">
      <c r="A153" s="3"/>
      <c r="B153" s="3"/>
      <c r="C153" s="3"/>
      <c r="D153" s="3"/>
      <c r="E153" s="3"/>
      <c r="F153" s="3"/>
    </row>
    <row r="154" spans="1:6" x14ac:dyDescent="0.2">
      <c r="A154" s="3"/>
      <c r="B154" s="3"/>
      <c r="C154" s="3"/>
      <c r="D154" s="3"/>
      <c r="E154" s="3"/>
      <c r="F154" s="3"/>
    </row>
    <row r="155" spans="1:6" x14ac:dyDescent="0.2">
      <c r="A155" s="3"/>
      <c r="B155" s="3"/>
      <c r="C155" s="3"/>
      <c r="D155" s="3"/>
      <c r="E155" s="3"/>
      <c r="F155" s="3"/>
    </row>
    <row r="156" spans="1:6" x14ac:dyDescent="0.2">
      <c r="A156" s="3"/>
      <c r="B156" s="3"/>
      <c r="C156" s="3"/>
      <c r="D156" s="3"/>
      <c r="E156" s="3"/>
      <c r="F156" s="3"/>
    </row>
    <row r="157" spans="1:6" x14ac:dyDescent="0.2">
      <c r="A157" s="3"/>
      <c r="B157" s="3"/>
      <c r="C157" s="3"/>
      <c r="D157" s="3"/>
      <c r="E157" s="3"/>
      <c r="F157" s="3"/>
    </row>
    <row r="158" spans="1:6" x14ac:dyDescent="0.2">
      <c r="A158" s="3"/>
      <c r="B158" s="3"/>
      <c r="C158" s="3"/>
      <c r="D158" s="3"/>
      <c r="E158" s="3"/>
      <c r="F158" s="3"/>
    </row>
    <row r="159" spans="1:6" x14ac:dyDescent="0.2">
      <c r="A159" s="3"/>
      <c r="B159" s="3"/>
      <c r="C159" s="3"/>
      <c r="D159" s="3"/>
      <c r="E159" s="3"/>
      <c r="F159" s="3"/>
    </row>
    <row r="160" spans="1:6" x14ac:dyDescent="0.2">
      <c r="A160" s="3"/>
      <c r="B160" s="3"/>
      <c r="C160" s="3"/>
      <c r="D160" s="3"/>
      <c r="E160" s="3"/>
      <c r="F160" s="3"/>
    </row>
    <row r="161" spans="1:6" x14ac:dyDescent="0.2">
      <c r="A161" s="3"/>
      <c r="B161" s="3"/>
      <c r="C161" s="3"/>
      <c r="D161" s="3"/>
      <c r="E161" s="3"/>
      <c r="F161" s="3"/>
    </row>
    <row r="162" spans="1:6" x14ac:dyDescent="0.2">
      <c r="A162" s="3"/>
      <c r="B162" s="3"/>
      <c r="C162" s="3"/>
      <c r="D162" s="3"/>
      <c r="E162" s="3"/>
      <c r="F162" s="3"/>
    </row>
  </sheetData>
  <sheetProtection password="C6F9" sheet="1" objects="1" scenarios="1" selectLockedCells="1"/>
  <pageMargins left="0.7" right="0.7" top="0.75" bottom="0.75" header="0.3" footer="0.3"/>
  <pageSetup orientation="portrait" verticalDpi="598" r:id="rId1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 sizeWithCells="1">
              <from>
                <xdr:col>7</xdr:col>
                <xdr:colOff>95250</xdr:colOff>
                <xdr:row>16</xdr:row>
                <xdr:rowOff>19050</xdr:rowOff>
              </from>
              <to>
                <xdr:col>16</xdr:col>
                <xdr:colOff>285750</xdr:colOff>
                <xdr:row>47</xdr:row>
                <xdr:rowOff>104775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8"/>
  <sheetViews>
    <sheetView workbookViewId="0">
      <selection activeCell="B10" sqref="B10"/>
    </sheetView>
  </sheetViews>
  <sheetFormatPr defaultRowHeight="12.95" customHeight="1" x14ac:dyDescent="0.2"/>
  <cols>
    <col min="1" max="1" width="15.7109375" style="1" customWidth="1"/>
    <col min="2" max="2" width="17.140625" style="1" customWidth="1"/>
    <col min="3" max="3" width="12.5703125" style="1" customWidth="1"/>
    <col min="4" max="4" width="11" style="1" customWidth="1"/>
    <col min="5" max="6" width="15.7109375" style="1" customWidth="1"/>
    <col min="7" max="7" width="15.28515625" style="1" customWidth="1"/>
    <col min="8" max="8" width="13.5703125" style="1" customWidth="1"/>
    <col min="9" max="9" width="13" style="1" customWidth="1"/>
    <col min="10" max="10" width="15.140625" style="1" customWidth="1"/>
    <col min="11" max="11" width="13" style="1" bestFit="1" customWidth="1"/>
    <col min="12" max="12" width="9.42578125" style="1" bestFit="1" customWidth="1"/>
    <col min="13" max="13" width="13" style="1" bestFit="1" customWidth="1"/>
    <col min="14" max="14" width="12.85546875" style="1" bestFit="1" customWidth="1"/>
    <col min="15" max="15" width="12.140625" style="1" bestFit="1" customWidth="1"/>
    <col min="16" max="256" width="9.140625" style="1"/>
    <col min="257" max="257" width="15.7109375" style="1" customWidth="1"/>
    <col min="258" max="258" width="17.140625" style="1" customWidth="1"/>
    <col min="259" max="259" width="12.5703125" style="1" customWidth="1"/>
    <col min="260" max="264" width="0" style="1" hidden="1" customWidth="1"/>
    <col min="265" max="265" width="13" style="1" customWidth="1"/>
    <col min="266" max="266" width="15.140625" style="1" customWidth="1"/>
    <col min="267" max="512" width="9.140625" style="1"/>
    <col min="513" max="513" width="15.7109375" style="1" customWidth="1"/>
    <col min="514" max="514" width="17.140625" style="1" customWidth="1"/>
    <col min="515" max="515" width="12.5703125" style="1" customWidth="1"/>
    <col min="516" max="520" width="0" style="1" hidden="1" customWidth="1"/>
    <col min="521" max="521" width="13" style="1" customWidth="1"/>
    <col min="522" max="522" width="15.140625" style="1" customWidth="1"/>
    <col min="523" max="768" width="9.140625" style="1"/>
    <col min="769" max="769" width="15.7109375" style="1" customWidth="1"/>
    <col min="770" max="770" width="17.140625" style="1" customWidth="1"/>
    <col min="771" max="771" width="12.5703125" style="1" customWidth="1"/>
    <col min="772" max="776" width="0" style="1" hidden="1" customWidth="1"/>
    <col min="777" max="777" width="13" style="1" customWidth="1"/>
    <col min="778" max="778" width="15.140625" style="1" customWidth="1"/>
    <col min="779" max="1024" width="9.140625" style="1"/>
    <col min="1025" max="1025" width="15.7109375" style="1" customWidth="1"/>
    <col min="1026" max="1026" width="17.140625" style="1" customWidth="1"/>
    <col min="1027" max="1027" width="12.5703125" style="1" customWidth="1"/>
    <col min="1028" max="1032" width="0" style="1" hidden="1" customWidth="1"/>
    <col min="1033" max="1033" width="13" style="1" customWidth="1"/>
    <col min="1034" max="1034" width="15.140625" style="1" customWidth="1"/>
    <col min="1035" max="1280" width="9.140625" style="1"/>
    <col min="1281" max="1281" width="15.7109375" style="1" customWidth="1"/>
    <col min="1282" max="1282" width="17.140625" style="1" customWidth="1"/>
    <col min="1283" max="1283" width="12.5703125" style="1" customWidth="1"/>
    <col min="1284" max="1288" width="0" style="1" hidden="1" customWidth="1"/>
    <col min="1289" max="1289" width="13" style="1" customWidth="1"/>
    <col min="1290" max="1290" width="15.140625" style="1" customWidth="1"/>
    <col min="1291" max="1536" width="9.140625" style="1"/>
    <col min="1537" max="1537" width="15.7109375" style="1" customWidth="1"/>
    <col min="1538" max="1538" width="17.140625" style="1" customWidth="1"/>
    <col min="1539" max="1539" width="12.5703125" style="1" customWidth="1"/>
    <col min="1540" max="1544" width="0" style="1" hidden="1" customWidth="1"/>
    <col min="1545" max="1545" width="13" style="1" customWidth="1"/>
    <col min="1546" max="1546" width="15.140625" style="1" customWidth="1"/>
    <col min="1547" max="1792" width="9.140625" style="1"/>
    <col min="1793" max="1793" width="15.7109375" style="1" customWidth="1"/>
    <col min="1794" max="1794" width="17.140625" style="1" customWidth="1"/>
    <col min="1795" max="1795" width="12.5703125" style="1" customWidth="1"/>
    <col min="1796" max="1800" width="0" style="1" hidden="1" customWidth="1"/>
    <col min="1801" max="1801" width="13" style="1" customWidth="1"/>
    <col min="1802" max="1802" width="15.140625" style="1" customWidth="1"/>
    <col min="1803" max="2048" width="9.140625" style="1"/>
    <col min="2049" max="2049" width="15.7109375" style="1" customWidth="1"/>
    <col min="2050" max="2050" width="17.140625" style="1" customWidth="1"/>
    <col min="2051" max="2051" width="12.5703125" style="1" customWidth="1"/>
    <col min="2052" max="2056" width="0" style="1" hidden="1" customWidth="1"/>
    <col min="2057" max="2057" width="13" style="1" customWidth="1"/>
    <col min="2058" max="2058" width="15.140625" style="1" customWidth="1"/>
    <col min="2059" max="2304" width="9.140625" style="1"/>
    <col min="2305" max="2305" width="15.7109375" style="1" customWidth="1"/>
    <col min="2306" max="2306" width="17.140625" style="1" customWidth="1"/>
    <col min="2307" max="2307" width="12.5703125" style="1" customWidth="1"/>
    <col min="2308" max="2312" width="0" style="1" hidden="1" customWidth="1"/>
    <col min="2313" max="2313" width="13" style="1" customWidth="1"/>
    <col min="2314" max="2314" width="15.140625" style="1" customWidth="1"/>
    <col min="2315" max="2560" width="9.140625" style="1"/>
    <col min="2561" max="2561" width="15.7109375" style="1" customWidth="1"/>
    <col min="2562" max="2562" width="17.140625" style="1" customWidth="1"/>
    <col min="2563" max="2563" width="12.5703125" style="1" customWidth="1"/>
    <col min="2564" max="2568" width="0" style="1" hidden="1" customWidth="1"/>
    <col min="2569" max="2569" width="13" style="1" customWidth="1"/>
    <col min="2570" max="2570" width="15.140625" style="1" customWidth="1"/>
    <col min="2571" max="2816" width="9.140625" style="1"/>
    <col min="2817" max="2817" width="15.7109375" style="1" customWidth="1"/>
    <col min="2818" max="2818" width="17.140625" style="1" customWidth="1"/>
    <col min="2819" max="2819" width="12.5703125" style="1" customWidth="1"/>
    <col min="2820" max="2824" width="0" style="1" hidden="1" customWidth="1"/>
    <col min="2825" max="2825" width="13" style="1" customWidth="1"/>
    <col min="2826" max="2826" width="15.140625" style="1" customWidth="1"/>
    <col min="2827" max="3072" width="9.140625" style="1"/>
    <col min="3073" max="3073" width="15.7109375" style="1" customWidth="1"/>
    <col min="3074" max="3074" width="17.140625" style="1" customWidth="1"/>
    <col min="3075" max="3075" width="12.5703125" style="1" customWidth="1"/>
    <col min="3076" max="3080" width="0" style="1" hidden="1" customWidth="1"/>
    <col min="3081" max="3081" width="13" style="1" customWidth="1"/>
    <col min="3082" max="3082" width="15.140625" style="1" customWidth="1"/>
    <col min="3083" max="3328" width="9.140625" style="1"/>
    <col min="3329" max="3329" width="15.7109375" style="1" customWidth="1"/>
    <col min="3330" max="3330" width="17.140625" style="1" customWidth="1"/>
    <col min="3331" max="3331" width="12.5703125" style="1" customWidth="1"/>
    <col min="3332" max="3336" width="0" style="1" hidden="1" customWidth="1"/>
    <col min="3337" max="3337" width="13" style="1" customWidth="1"/>
    <col min="3338" max="3338" width="15.140625" style="1" customWidth="1"/>
    <col min="3339" max="3584" width="9.140625" style="1"/>
    <col min="3585" max="3585" width="15.7109375" style="1" customWidth="1"/>
    <col min="3586" max="3586" width="17.140625" style="1" customWidth="1"/>
    <col min="3587" max="3587" width="12.5703125" style="1" customWidth="1"/>
    <col min="3588" max="3592" width="0" style="1" hidden="1" customWidth="1"/>
    <col min="3593" max="3593" width="13" style="1" customWidth="1"/>
    <col min="3594" max="3594" width="15.140625" style="1" customWidth="1"/>
    <col min="3595" max="3840" width="9.140625" style="1"/>
    <col min="3841" max="3841" width="15.7109375" style="1" customWidth="1"/>
    <col min="3842" max="3842" width="17.140625" style="1" customWidth="1"/>
    <col min="3843" max="3843" width="12.5703125" style="1" customWidth="1"/>
    <col min="3844" max="3848" width="0" style="1" hidden="1" customWidth="1"/>
    <col min="3849" max="3849" width="13" style="1" customWidth="1"/>
    <col min="3850" max="3850" width="15.140625" style="1" customWidth="1"/>
    <col min="3851" max="4096" width="9.140625" style="1"/>
    <col min="4097" max="4097" width="15.7109375" style="1" customWidth="1"/>
    <col min="4098" max="4098" width="17.140625" style="1" customWidth="1"/>
    <col min="4099" max="4099" width="12.5703125" style="1" customWidth="1"/>
    <col min="4100" max="4104" width="0" style="1" hidden="1" customWidth="1"/>
    <col min="4105" max="4105" width="13" style="1" customWidth="1"/>
    <col min="4106" max="4106" width="15.140625" style="1" customWidth="1"/>
    <col min="4107" max="4352" width="9.140625" style="1"/>
    <col min="4353" max="4353" width="15.7109375" style="1" customWidth="1"/>
    <col min="4354" max="4354" width="17.140625" style="1" customWidth="1"/>
    <col min="4355" max="4355" width="12.5703125" style="1" customWidth="1"/>
    <col min="4356" max="4360" width="0" style="1" hidden="1" customWidth="1"/>
    <col min="4361" max="4361" width="13" style="1" customWidth="1"/>
    <col min="4362" max="4362" width="15.140625" style="1" customWidth="1"/>
    <col min="4363" max="4608" width="9.140625" style="1"/>
    <col min="4609" max="4609" width="15.7109375" style="1" customWidth="1"/>
    <col min="4610" max="4610" width="17.140625" style="1" customWidth="1"/>
    <col min="4611" max="4611" width="12.5703125" style="1" customWidth="1"/>
    <col min="4612" max="4616" width="0" style="1" hidden="1" customWidth="1"/>
    <col min="4617" max="4617" width="13" style="1" customWidth="1"/>
    <col min="4618" max="4618" width="15.140625" style="1" customWidth="1"/>
    <col min="4619" max="4864" width="9.140625" style="1"/>
    <col min="4865" max="4865" width="15.7109375" style="1" customWidth="1"/>
    <col min="4866" max="4866" width="17.140625" style="1" customWidth="1"/>
    <col min="4867" max="4867" width="12.5703125" style="1" customWidth="1"/>
    <col min="4868" max="4872" width="0" style="1" hidden="1" customWidth="1"/>
    <col min="4873" max="4873" width="13" style="1" customWidth="1"/>
    <col min="4874" max="4874" width="15.140625" style="1" customWidth="1"/>
    <col min="4875" max="5120" width="9.140625" style="1"/>
    <col min="5121" max="5121" width="15.7109375" style="1" customWidth="1"/>
    <col min="5122" max="5122" width="17.140625" style="1" customWidth="1"/>
    <col min="5123" max="5123" width="12.5703125" style="1" customWidth="1"/>
    <col min="5124" max="5128" width="0" style="1" hidden="1" customWidth="1"/>
    <col min="5129" max="5129" width="13" style="1" customWidth="1"/>
    <col min="5130" max="5130" width="15.140625" style="1" customWidth="1"/>
    <col min="5131" max="5376" width="9.140625" style="1"/>
    <col min="5377" max="5377" width="15.7109375" style="1" customWidth="1"/>
    <col min="5378" max="5378" width="17.140625" style="1" customWidth="1"/>
    <col min="5379" max="5379" width="12.5703125" style="1" customWidth="1"/>
    <col min="5380" max="5384" width="0" style="1" hidden="1" customWidth="1"/>
    <col min="5385" max="5385" width="13" style="1" customWidth="1"/>
    <col min="5386" max="5386" width="15.140625" style="1" customWidth="1"/>
    <col min="5387" max="5632" width="9.140625" style="1"/>
    <col min="5633" max="5633" width="15.7109375" style="1" customWidth="1"/>
    <col min="5634" max="5634" width="17.140625" style="1" customWidth="1"/>
    <col min="5635" max="5635" width="12.5703125" style="1" customWidth="1"/>
    <col min="5636" max="5640" width="0" style="1" hidden="1" customWidth="1"/>
    <col min="5641" max="5641" width="13" style="1" customWidth="1"/>
    <col min="5642" max="5642" width="15.140625" style="1" customWidth="1"/>
    <col min="5643" max="5888" width="9.140625" style="1"/>
    <col min="5889" max="5889" width="15.7109375" style="1" customWidth="1"/>
    <col min="5890" max="5890" width="17.140625" style="1" customWidth="1"/>
    <col min="5891" max="5891" width="12.5703125" style="1" customWidth="1"/>
    <col min="5892" max="5896" width="0" style="1" hidden="1" customWidth="1"/>
    <col min="5897" max="5897" width="13" style="1" customWidth="1"/>
    <col min="5898" max="5898" width="15.140625" style="1" customWidth="1"/>
    <col min="5899" max="6144" width="9.140625" style="1"/>
    <col min="6145" max="6145" width="15.7109375" style="1" customWidth="1"/>
    <col min="6146" max="6146" width="17.140625" style="1" customWidth="1"/>
    <col min="6147" max="6147" width="12.5703125" style="1" customWidth="1"/>
    <col min="6148" max="6152" width="0" style="1" hidden="1" customWidth="1"/>
    <col min="6153" max="6153" width="13" style="1" customWidth="1"/>
    <col min="6154" max="6154" width="15.140625" style="1" customWidth="1"/>
    <col min="6155" max="6400" width="9.140625" style="1"/>
    <col min="6401" max="6401" width="15.7109375" style="1" customWidth="1"/>
    <col min="6402" max="6402" width="17.140625" style="1" customWidth="1"/>
    <col min="6403" max="6403" width="12.5703125" style="1" customWidth="1"/>
    <col min="6404" max="6408" width="0" style="1" hidden="1" customWidth="1"/>
    <col min="6409" max="6409" width="13" style="1" customWidth="1"/>
    <col min="6410" max="6410" width="15.140625" style="1" customWidth="1"/>
    <col min="6411" max="6656" width="9.140625" style="1"/>
    <col min="6657" max="6657" width="15.7109375" style="1" customWidth="1"/>
    <col min="6658" max="6658" width="17.140625" style="1" customWidth="1"/>
    <col min="6659" max="6659" width="12.5703125" style="1" customWidth="1"/>
    <col min="6660" max="6664" width="0" style="1" hidden="1" customWidth="1"/>
    <col min="6665" max="6665" width="13" style="1" customWidth="1"/>
    <col min="6666" max="6666" width="15.140625" style="1" customWidth="1"/>
    <col min="6667" max="6912" width="9.140625" style="1"/>
    <col min="6913" max="6913" width="15.7109375" style="1" customWidth="1"/>
    <col min="6914" max="6914" width="17.140625" style="1" customWidth="1"/>
    <col min="6915" max="6915" width="12.5703125" style="1" customWidth="1"/>
    <col min="6916" max="6920" width="0" style="1" hidden="1" customWidth="1"/>
    <col min="6921" max="6921" width="13" style="1" customWidth="1"/>
    <col min="6922" max="6922" width="15.140625" style="1" customWidth="1"/>
    <col min="6923" max="7168" width="9.140625" style="1"/>
    <col min="7169" max="7169" width="15.7109375" style="1" customWidth="1"/>
    <col min="7170" max="7170" width="17.140625" style="1" customWidth="1"/>
    <col min="7171" max="7171" width="12.5703125" style="1" customWidth="1"/>
    <col min="7172" max="7176" width="0" style="1" hidden="1" customWidth="1"/>
    <col min="7177" max="7177" width="13" style="1" customWidth="1"/>
    <col min="7178" max="7178" width="15.140625" style="1" customWidth="1"/>
    <col min="7179" max="7424" width="9.140625" style="1"/>
    <col min="7425" max="7425" width="15.7109375" style="1" customWidth="1"/>
    <col min="7426" max="7426" width="17.140625" style="1" customWidth="1"/>
    <col min="7427" max="7427" width="12.5703125" style="1" customWidth="1"/>
    <col min="7428" max="7432" width="0" style="1" hidden="1" customWidth="1"/>
    <col min="7433" max="7433" width="13" style="1" customWidth="1"/>
    <col min="7434" max="7434" width="15.140625" style="1" customWidth="1"/>
    <col min="7435" max="7680" width="9.140625" style="1"/>
    <col min="7681" max="7681" width="15.7109375" style="1" customWidth="1"/>
    <col min="7682" max="7682" width="17.140625" style="1" customWidth="1"/>
    <col min="7683" max="7683" width="12.5703125" style="1" customWidth="1"/>
    <col min="7684" max="7688" width="0" style="1" hidden="1" customWidth="1"/>
    <col min="7689" max="7689" width="13" style="1" customWidth="1"/>
    <col min="7690" max="7690" width="15.140625" style="1" customWidth="1"/>
    <col min="7691" max="7936" width="9.140625" style="1"/>
    <col min="7937" max="7937" width="15.7109375" style="1" customWidth="1"/>
    <col min="7938" max="7938" width="17.140625" style="1" customWidth="1"/>
    <col min="7939" max="7939" width="12.5703125" style="1" customWidth="1"/>
    <col min="7940" max="7944" width="0" style="1" hidden="1" customWidth="1"/>
    <col min="7945" max="7945" width="13" style="1" customWidth="1"/>
    <col min="7946" max="7946" width="15.140625" style="1" customWidth="1"/>
    <col min="7947" max="8192" width="9.140625" style="1"/>
    <col min="8193" max="8193" width="15.7109375" style="1" customWidth="1"/>
    <col min="8194" max="8194" width="17.140625" style="1" customWidth="1"/>
    <col min="8195" max="8195" width="12.5703125" style="1" customWidth="1"/>
    <col min="8196" max="8200" width="0" style="1" hidden="1" customWidth="1"/>
    <col min="8201" max="8201" width="13" style="1" customWidth="1"/>
    <col min="8202" max="8202" width="15.140625" style="1" customWidth="1"/>
    <col min="8203" max="8448" width="9.140625" style="1"/>
    <col min="8449" max="8449" width="15.7109375" style="1" customWidth="1"/>
    <col min="8450" max="8450" width="17.140625" style="1" customWidth="1"/>
    <col min="8451" max="8451" width="12.5703125" style="1" customWidth="1"/>
    <col min="8452" max="8456" width="0" style="1" hidden="1" customWidth="1"/>
    <col min="8457" max="8457" width="13" style="1" customWidth="1"/>
    <col min="8458" max="8458" width="15.140625" style="1" customWidth="1"/>
    <col min="8459" max="8704" width="9.140625" style="1"/>
    <col min="8705" max="8705" width="15.7109375" style="1" customWidth="1"/>
    <col min="8706" max="8706" width="17.140625" style="1" customWidth="1"/>
    <col min="8707" max="8707" width="12.5703125" style="1" customWidth="1"/>
    <col min="8708" max="8712" width="0" style="1" hidden="1" customWidth="1"/>
    <col min="8713" max="8713" width="13" style="1" customWidth="1"/>
    <col min="8714" max="8714" width="15.140625" style="1" customWidth="1"/>
    <col min="8715" max="8960" width="9.140625" style="1"/>
    <col min="8961" max="8961" width="15.7109375" style="1" customWidth="1"/>
    <col min="8962" max="8962" width="17.140625" style="1" customWidth="1"/>
    <col min="8963" max="8963" width="12.5703125" style="1" customWidth="1"/>
    <col min="8964" max="8968" width="0" style="1" hidden="1" customWidth="1"/>
    <col min="8969" max="8969" width="13" style="1" customWidth="1"/>
    <col min="8970" max="8970" width="15.140625" style="1" customWidth="1"/>
    <col min="8971" max="9216" width="9.140625" style="1"/>
    <col min="9217" max="9217" width="15.7109375" style="1" customWidth="1"/>
    <col min="9218" max="9218" width="17.140625" style="1" customWidth="1"/>
    <col min="9219" max="9219" width="12.5703125" style="1" customWidth="1"/>
    <col min="9220" max="9224" width="0" style="1" hidden="1" customWidth="1"/>
    <col min="9225" max="9225" width="13" style="1" customWidth="1"/>
    <col min="9226" max="9226" width="15.140625" style="1" customWidth="1"/>
    <col min="9227" max="9472" width="9.140625" style="1"/>
    <col min="9473" max="9473" width="15.7109375" style="1" customWidth="1"/>
    <col min="9474" max="9474" width="17.140625" style="1" customWidth="1"/>
    <col min="9475" max="9475" width="12.5703125" style="1" customWidth="1"/>
    <col min="9476" max="9480" width="0" style="1" hidden="1" customWidth="1"/>
    <col min="9481" max="9481" width="13" style="1" customWidth="1"/>
    <col min="9482" max="9482" width="15.140625" style="1" customWidth="1"/>
    <col min="9483" max="9728" width="9.140625" style="1"/>
    <col min="9729" max="9729" width="15.7109375" style="1" customWidth="1"/>
    <col min="9730" max="9730" width="17.140625" style="1" customWidth="1"/>
    <col min="9731" max="9731" width="12.5703125" style="1" customWidth="1"/>
    <col min="9732" max="9736" width="0" style="1" hidden="1" customWidth="1"/>
    <col min="9737" max="9737" width="13" style="1" customWidth="1"/>
    <col min="9738" max="9738" width="15.140625" style="1" customWidth="1"/>
    <col min="9739" max="9984" width="9.140625" style="1"/>
    <col min="9985" max="9985" width="15.7109375" style="1" customWidth="1"/>
    <col min="9986" max="9986" width="17.140625" style="1" customWidth="1"/>
    <col min="9987" max="9987" width="12.5703125" style="1" customWidth="1"/>
    <col min="9988" max="9992" width="0" style="1" hidden="1" customWidth="1"/>
    <col min="9993" max="9993" width="13" style="1" customWidth="1"/>
    <col min="9994" max="9994" width="15.140625" style="1" customWidth="1"/>
    <col min="9995" max="10240" width="9.140625" style="1"/>
    <col min="10241" max="10241" width="15.7109375" style="1" customWidth="1"/>
    <col min="10242" max="10242" width="17.140625" style="1" customWidth="1"/>
    <col min="10243" max="10243" width="12.5703125" style="1" customWidth="1"/>
    <col min="10244" max="10248" width="0" style="1" hidden="1" customWidth="1"/>
    <col min="10249" max="10249" width="13" style="1" customWidth="1"/>
    <col min="10250" max="10250" width="15.140625" style="1" customWidth="1"/>
    <col min="10251" max="10496" width="9.140625" style="1"/>
    <col min="10497" max="10497" width="15.7109375" style="1" customWidth="1"/>
    <col min="10498" max="10498" width="17.140625" style="1" customWidth="1"/>
    <col min="10499" max="10499" width="12.5703125" style="1" customWidth="1"/>
    <col min="10500" max="10504" width="0" style="1" hidden="1" customWidth="1"/>
    <col min="10505" max="10505" width="13" style="1" customWidth="1"/>
    <col min="10506" max="10506" width="15.140625" style="1" customWidth="1"/>
    <col min="10507" max="10752" width="9.140625" style="1"/>
    <col min="10753" max="10753" width="15.7109375" style="1" customWidth="1"/>
    <col min="10754" max="10754" width="17.140625" style="1" customWidth="1"/>
    <col min="10755" max="10755" width="12.5703125" style="1" customWidth="1"/>
    <col min="10756" max="10760" width="0" style="1" hidden="1" customWidth="1"/>
    <col min="10761" max="10761" width="13" style="1" customWidth="1"/>
    <col min="10762" max="10762" width="15.140625" style="1" customWidth="1"/>
    <col min="10763" max="11008" width="9.140625" style="1"/>
    <col min="11009" max="11009" width="15.7109375" style="1" customWidth="1"/>
    <col min="11010" max="11010" width="17.140625" style="1" customWidth="1"/>
    <col min="11011" max="11011" width="12.5703125" style="1" customWidth="1"/>
    <col min="11012" max="11016" width="0" style="1" hidden="1" customWidth="1"/>
    <col min="11017" max="11017" width="13" style="1" customWidth="1"/>
    <col min="11018" max="11018" width="15.140625" style="1" customWidth="1"/>
    <col min="11019" max="11264" width="9.140625" style="1"/>
    <col min="11265" max="11265" width="15.7109375" style="1" customWidth="1"/>
    <col min="11266" max="11266" width="17.140625" style="1" customWidth="1"/>
    <col min="11267" max="11267" width="12.5703125" style="1" customWidth="1"/>
    <col min="11268" max="11272" width="0" style="1" hidden="1" customWidth="1"/>
    <col min="11273" max="11273" width="13" style="1" customWidth="1"/>
    <col min="11274" max="11274" width="15.140625" style="1" customWidth="1"/>
    <col min="11275" max="11520" width="9.140625" style="1"/>
    <col min="11521" max="11521" width="15.7109375" style="1" customWidth="1"/>
    <col min="11522" max="11522" width="17.140625" style="1" customWidth="1"/>
    <col min="11523" max="11523" width="12.5703125" style="1" customWidth="1"/>
    <col min="11524" max="11528" width="0" style="1" hidden="1" customWidth="1"/>
    <col min="11529" max="11529" width="13" style="1" customWidth="1"/>
    <col min="11530" max="11530" width="15.140625" style="1" customWidth="1"/>
    <col min="11531" max="11776" width="9.140625" style="1"/>
    <col min="11777" max="11777" width="15.7109375" style="1" customWidth="1"/>
    <col min="11778" max="11778" width="17.140625" style="1" customWidth="1"/>
    <col min="11779" max="11779" width="12.5703125" style="1" customWidth="1"/>
    <col min="11780" max="11784" width="0" style="1" hidden="1" customWidth="1"/>
    <col min="11785" max="11785" width="13" style="1" customWidth="1"/>
    <col min="11786" max="11786" width="15.140625" style="1" customWidth="1"/>
    <col min="11787" max="12032" width="9.140625" style="1"/>
    <col min="12033" max="12033" width="15.7109375" style="1" customWidth="1"/>
    <col min="12034" max="12034" width="17.140625" style="1" customWidth="1"/>
    <col min="12035" max="12035" width="12.5703125" style="1" customWidth="1"/>
    <col min="12036" max="12040" width="0" style="1" hidden="1" customWidth="1"/>
    <col min="12041" max="12041" width="13" style="1" customWidth="1"/>
    <col min="12042" max="12042" width="15.140625" style="1" customWidth="1"/>
    <col min="12043" max="12288" width="9.140625" style="1"/>
    <col min="12289" max="12289" width="15.7109375" style="1" customWidth="1"/>
    <col min="12290" max="12290" width="17.140625" style="1" customWidth="1"/>
    <col min="12291" max="12291" width="12.5703125" style="1" customWidth="1"/>
    <col min="12292" max="12296" width="0" style="1" hidden="1" customWidth="1"/>
    <col min="12297" max="12297" width="13" style="1" customWidth="1"/>
    <col min="12298" max="12298" width="15.140625" style="1" customWidth="1"/>
    <col min="12299" max="12544" width="9.140625" style="1"/>
    <col min="12545" max="12545" width="15.7109375" style="1" customWidth="1"/>
    <col min="12546" max="12546" width="17.140625" style="1" customWidth="1"/>
    <col min="12547" max="12547" width="12.5703125" style="1" customWidth="1"/>
    <col min="12548" max="12552" width="0" style="1" hidden="1" customWidth="1"/>
    <col min="12553" max="12553" width="13" style="1" customWidth="1"/>
    <col min="12554" max="12554" width="15.140625" style="1" customWidth="1"/>
    <col min="12555" max="12800" width="9.140625" style="1"/>
    <col min="12801" max="12801" width="15.7109375" style="1" customWidth="1"/>
    <col min="12802" max="12802" width="17.140625" style="1" customWidth="1"/>
    <col min="12803" max="12803" width="12.5703125" style="1" customWidth="1"/>
    <col min="12804" max="12808" width="0" style="1" hidden="1" customWidth="1"/>
    <col min="12809" max="12809" width="13" style="1" customWidth="1"/>
    <col min="12810" max="12810" width="15.140625" style="1" customWidth="1"/>
    <col min="12811" max="13056" width="9.140625" style="1"/>
    <col min="13057" max="13057" width="15.7109375" style="1" customWidth="1"/>
    <col min="13058" max="13058" width="17.140625" style="1" customWidth="1"/>
    <col min="13059" max="13059" width="12.5703125" style="1" customWidth="1"/>
    <col min="13060" max="13064" width="0" style="1" hidden="1" customWidth="1"/>
    <col min="13065" max="13065" width="13" style="1" customWidth="1"/>
    <col min="13066" max="13066" width="15.140625" style="1" customWidth="1"/>
    <col min="13067" max="13312" width="9.140625" style="1"/>
    <col min="13313" max="13313" width="15.7109375" style="1" customWidth="1"/>
    <col min="13314" max="13314" width="17.140625" style="1" customWidth="1"/>
    <col min="13315" max="13315" width="12.5703125" style="1" customWidth="1"/>
    <col min="13316" max="13320" width="0" style="1" hidden="1" customWidth="1"/>
    <col min="13321" max="13321" width="13" style="1" customWidth="1"/>
    <col min="13322" max="13322" width="15.140625" style="1" customWidth="1"/>
    <col min="13323" max="13568" width="9.140625" style="1"/>
    <col min="13569" max="13569" width="15.7109375" style="1" customWidth="1"/>
    <col min="13570" max="13570" width="17.140625" style="1" customWidth="1"/>
    <col min="13571" max="13571" width="12.5703125" style="1" customWidth="1"/>
    <col min="13572" max="13576" width="0" style="1" hidden="1" customWidth="1"/>
    <col min="13577" max="13577" width="13" style="1" customWidth="1"/>
    <col min="13578" max="13578" width="15.140625" style="1" customWidth="1"/>
    <col min="13579" max="13824" width="9.140625" style="1"/>
    <col min="13825" max="13825" width="15.7109375" style="1" customWidth="1"/>
    <col min="13826" max="13826" width="17.140625" style="1" customWidth="1"/>
    <col min="13827" max="13827" width="12.5703125" style="1" customWidth="1"/>
    <col min="13828" max="13832" width="0" style="1" hidden="1" customWidth="1"/>
    <col min="13833" max="13833" width="13" style="1" customWidth="1"/>
    <col min="13834" max="13834" width="15.140625" style="1" customWidth="1"/>
    <col min="13835" max="14080" width="9.140625" style="1"/>
    <col min="14081" max="14081" width="15.7109375" style="1" customWidth="1"/>
    <col min="14082" max="14082" width="17.140625" style="1" customWidth="1"/>
    <col min="14083" max="14083" width="12.5703125" style="1" customWidth="1"/>
    <col min="14084" max="14088" width="0" style="1" hidden="1" customWidth="1"/>
    <col min="14089" max="14089" width="13" style="1" customWidth="1"/>
    <col min="14090" max="14090" width="15.140625" style="1" customWidth="1"/>
    <col min="14091" max="14336" width="9.140625" style="1"/>
    <col min="14337" max="14337" width="15.7109375" style="1" customWidth="1"/>
    <col min="14338" max="14338" width="17.140625" style="1" customWidth="1"/>
    <col min="14339" max="14339" width="12.5703125" style="1" customWidth="1"/>
    <col min="14340" max="14344" width="0" style="1" hidden="1" customWidth="1"/>
    <col min="14345" max="14345" width="13" style="1" customWidth="1"/>
    <col min="14346" max="14346" width="15.140625" style="1" customWidth="1"/>
    <col min="14347" max="14592" width="9.140625" style="1"/>
    <col min="14593" max="14593" width="15.7109375" style="1" customWidth="1"/>
    <col min="14594" max="14594" width="17.140625" style="1" customWidth="1"/>
    <col min="14595" max="14595" width="12.5703125" style="1" customWidth="1"/>
    <col min="14596" max="14600" width="0" style="1" hidden="1" customWidth="1"/>
    <col min="14601" max="14601" width="13" style="1" customWidth="1"/>
    <col min="14602" max="14602" width="15.140625" style="1" customWidth="1"/>
    <col min="14603" max="14848" width="9.140625" style="1"/>
    <col min="14849" max="14849" width="15.7109375" style="1" customWidth="1"/>
    <col min="14850" max="14850" width="17.140625" style="1" customWidth="1"/>
    <col min="14851" max="14851" width="12.5703125" style="1" customWidth="1"/>
    <col min="14852" max="14856" width="0" style="1" hidden="1" customWidth="1"/>
    <col min="14857" max="14857" width="13" style="1" customWidth="1"/>
    <col min="14858" max="14858" width="15.140625" style="1" customWidth="1"/>
    <col min="14859" max="15104" width="9.140625" style="1"/>
    <col min="15105" max="15105" width="15.7109375" style="1" customWidth="1"/>
    <col min="15106" max="15106" width="17.140625" style="1" customWidth="1"/>
    <col min="15107" max="15107" width="12.5703125" style="1" customWidth="1"/>
    <col min="15108" max="15112" width="0" style="1" hidden="1" customWidth="1"/>
    <col min="15113" max="15113" width="13" style="1" customWidth="1"/>
    <col min="15114" max="15114" width="15.140625" style="1" customWidth="1"/>
    <col min="15115" max="15360" width="9.140625" style="1"/>
    <col min="15361" max="15361" width="15.7109375" style="1" customWidth="1"/>
    <col min="15362" max="15362" width="17.140625" style="1" customWidth="1"/>
    <col min="15363" max="15363" width="12.5703125" style="1" customWidth="1"/>
    <col min="15364" max="15368" width="0" style="1" hidden="1" customWidth="1"/>
    <col min="15369" max="15369" width="13" style="1" customWidth="1"/>
    <col min="15370" max="15370" width="15.140625" style="1" customWidth="1"/>
    <col min="15371" max="15616" width="9.140625" style="1"/>
    <col min="15617" max="15617" width="15.7109375" style="1" customWidth="1"/>
    <col min="15618" max="15618" width="17.140625" style="1" customWidth="1"/>
    <col min="15619" max="15619" width="12.5703125" style="1" customWidth="1"/>
    <col min="15620" max="15624" width="0" style="1" hidden="1" customWidth="1"/>
    <col min="15625" max="15625" width="13" style="1" customWidth="1"/>
    <col min="15626" max="15626" width="15.140625" style="1" customWidth="1"/>
    <col min="15627" max="15872" width="9.140625" style="1"/>
    <col min="15873" max="15873" width="15.7109375" style="1" customWidth="1"/>
    <col min="15874" max="15874" width="17.140625" style="1" customWidth="1"/>
    <col min="15875" max="15875" width="12.5703125" style="1" customWidth="1"/>
    <col min="15876" max="15880" width="0" style="1" hidden="1" customWidth="1"/>
    <col min="15881" max="15881" width="13" style="1" customWidth="1"/>
    <col min="15882" max="15882" width="15.140625" style="1" customWidth="1"/>
    <col min="15883" max="16128" width="9.140625" style="1"/>
    <col min="16129" max="16129" width="15.7109375" style="1" customWidth="1"/>
    <col min="16130" max="16130" width="17.140625" style="1" customWidth="1"/>
    <col min="16131" max="16131" width="12.5703125" style="1" customWidth="1"/>
    <col min="16132" max="16136" width="0" style="1" hidden="1" customWidth="1"/>
    <col min="16137" max="16137" width="13" style="1" customWidth="1"/>
    <col min="16138" max="16138" width="15.140625" style="1" customWidth="1"/>
    <col min="16139" max="16384" width="9.140625" style="1"/>
  </cols>
  <sheetData>
    <row r="1" spans="1:16" ht="164.25" customHeight="1" x14ac:dyDescent="0.2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12.9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7" spans="1:16" ht="12.95" customHeight="1" x14ac:dyDescent="0.2">
      <c r="A7" s="60" t="s">
        <v>120</v>
      </c>
      <c r="B7" s="61"/>
      <c r="C7" s="61"/>
      <c r="D7" s="61"/>
      <c r="E7" s="61"/>
      <c r="F7" s="61"/>
    </row>
    <row r="9" spans="1:16" ht="12.95" customHeight="1" x14ac:dyDescent="0.2">
      <c r="A9" s="1" t="s">
        <v>121</v>
      </c>
      <c r="B9" s="68">
        <v>0.01</v>
      </c>
      <c r="C9" s="5" t="s">
        <v>10</v>
      </c>
      <c r="D9" s="37"/>
      <c r="E9" s="37"/>
      <c r="F9" s="37"/>
      <c r="G9" s="37"/>
      <c r="H9" s="37"/>
      <c r="I9" s="37"/>
    </row>
    <row r="10" spans="1:16" ht="12.95" customHeight="1" x14ac:dyDescent="0.2">
      <c r="A10" s="1" t="s">
        <v>122</v>
      </c>
      <c r="B10" s="68">
        <f>Iout</f>
        <v>2</v>
      </c>
      <c r="C10" s="5" t="s">
        <v>10</v>
      </c>
      <c r="D10" s="37"/>
      <c r="E10" s="37"/>
      <c r="F10" s="37"/>
      <c r="G10" s="37"/>
      <c r="H10" s="37"/>
      <c r="I10" s="8" t="str">
        <f>IF(B10&gt;6,"Over Limit of IC!"," ")</f>
        <v xml:space="preserve"> </v>
      </c>
    </row>
    <row r="11" spans="1:16" s="62" customFormat="1" ht="30" customHeight="1" x14ac:dyDescent="0.4">
      <c r="I11" s="39" t="str">
        <f>IF(Vin&lt;Vout, "Boost Mode","Pass Through")</f>
        <v>Boost Mode</v>
      </c>
    </row>
    <row r="12" spans="1:16" s="62" customFormat="1" ht="12.95" customHeight="1" x14ac:dyDescent="0.2">
      <c r="A12" s="81" t="s">
        <v>9</v>
      </c>
      <c r="B12" s="81" t="s">
        <v>123</v>
      </c>
      <c r="C12" s="81" t="s">
        <v>43</v>
      </c>
      <c r="D12" s="82" t="s">
        <v>124</v>
      </c>
      <c r="E12" s="82" t="s">
        <v>125</v>
      </c>
      <c r="F12" s="82" t="s">
        <v>126</v>
      </c>
      <c r="G12" s="82" t="s">
        <v>127</v>
      </c>
      <c r="H12" s="82" t="s">
        <v>128</v>
      </c>
      <c r="I12" s="82" t="s">
        <v>129</v>
      </c>
      <c r="J12" s="82" t="s">
        <v>130</v>
      </c>
      <c r="K12" s="81"/>
      <c r="L12" s="81"/>
      <c r="M12" s="81"/>
      <c r="N12" s="81"/>
      <c r="O12" s="81"/>
    </row>
    <row r="13" spans="1:16" s="62" customFormat="1" ht="12.95" customHeight="1" x14ac:dyDescent="0.2">
      <c r="A13" s="83">
        <f>Imin</f>
        <v>0.01</v>
      </c>
      <c r="B13" s="84">
        <f t="shared" ref="B13:B23" si="0">SUM(D13:J13)</f>
        <v>0.1895638102573998</v>
      </c>
      <c r="C13" s="85">
        <f>(Vout*A13)/((Vout*A13)+B13)*100</f>
        <v>21.52640329053888</v>
      </c>
      <c r="D13" s="86">
        <f>IF(Vin&lt;Vout,'Power Loss'!$B$52/1000*(A29/(1-B29)*SQRT(1+1/3*(C29*(1-B29)/A29)^2))^2,D29^2*'Power Loss'!$B$52/('Power Loss'!$B$60*1000)+ABS(Vin*(A29-0.5*C29)*'Power Loss'!$B$58*10^-9*Fs*10^3/2)+Vin*(A29+0.5*C29)*'Power Loss'!$B$59*10^-9*Fs*10^3/2+Vin*Fs*10^3*'Power Loss'!$B$54*10^-9*'Power Loss'!$B$60+0.5*'Power Loss'!$B$57*10^-9*Vin^2*Fs*10^3*'Power Loss'!$B$60)</f>
        <v>7.5903496732598122E-8</v>
      </c>
      <c r="E13" s="86">
        <f>IF(Vin&lt;Vout,0, E29^2*'Power Loss'!$B$69/('Power Loss'!$B$111*1000)+'Power Loss'!$B$70*Fs*10^-6*(('Efficiency Summary'!A29/(1-'Efficiency Summary'!B29)+0.5*'Efficiency Summary'!C29)*'Power Loss'!$B$109+('Efficiency Summary'!A29/(1-'Efficiency Summary'!B29)-0.5*'Efficiency Summary'!C29)*'Power Loss'!$B$92)+0.5*'Power Loss'!$B$88*Vout*Fs*10^-6*'Power Loss'!$B$93+'Power Loss'!$B$90*10^-6*'Power Loss'!$B$93*Vout^2*Fs/2)</f>
        <v>0</v>
      </c>
      <c r="F13" s="86">
        <f>IF(Vin&lt;Vout,D29^2*Ron_u/('Power Loss'!$B$93*1000)+ABS(Vout*(A29/(1-B29)-0.5*C29)*'Power Loss'!$B$91*10^-6*Fs/2)+Vout*(A29/(1-B29)+0.5*C29)*'Power Loss'!$B$92*10^-6*Fs/2+'Power Loss'!$B$86*Fs*10^-6*(('Efficiency Summary'!A29/(1-'Efficiency Summary'!B29)+0.5*'Efficiency Summary'!C29)*'Power Loss'!$B$91+('Efficiency Summary'!A29/(1-'Efficiency Summary'!B29)-0.5*'Efficiency Summary'!C29)*'Power Loss'!$B$92)+'Power Loss'!$B$87*Vout*Fs*10^-6*'Power Loss'!$B$93+0.5*'Power Loss'!$B$90*10^-6*Vout^2*Fs*'Power Loss'!$B$93,Ron_u*(Iout^2+C29^2/12)/1000)</f>
        <v>2.474781703838249E-2</v>
      </c>
      <c r="G13" s="86">
        <f>IF(Vin&lt;Vout,E29^2*Ron_l/('Power Loss'!$B$111*1000)+'Power Loss'!$B$104*Fs*10^-6*(('Efficiency Summary'!A29/(1-'Efficiency Summary'!B29)+0.5*'Efficiency Summary'!C29)*'Power Loss'!$B$109+('Efficiency Summary'!A29/(1-'Efficiency Summary'!B29)-0.5*'Efficiency Summary'!C29)*'Power Loss'!$B$110)+0.5*'Power Loss'!$B$105*Vout*Fs*10^-6*'Power Loss'!$B$111+'Power Loss'!$B$108*10^-6*'Power Loss'!$B$111*Vout^2*Fs/2,0)</f>
        <v>5.6064233476043005E-3</v>
      </c>
      <c r="H13" s="86">
        <f>IF(Vin&lt;Vout,'Power Loss'!$B$119*'Power Loss'!$B$121/1000+'Power Loss'!$B$124+'Power Loss'!$B$125,'Power Loss'!$B$119*'Power Loss'!$B$121/1000+'Power Loss'!$B$122+'Power Loss'!$B$123)</f>
        <v>7.4137142857142846E-2</v>
      </c>
      <c r="I13" s="86">
        <f>IF(Vin&lt;Vout,1.68*10^(-9)*(Fs)^1.35*(57.8*0.5*C29)^2.263+DCR*(('Efficiency Summary'!A29/(1-'Efficiency Summary'!B29))^2+'Efficiency Summary'!C29^2/12)/1000,1.68*10^(-9)*(Fs)^1.35*(57.8*0.5*Irip)^2.263+DCR*('Efficiency Summary'!A29^2+'Efficiency Summary'!C29^2/12)/1000)</f>
        <v>8.5050129757739068E-2</v>
      </c>
      <c r="J13" s="87">
        <f>IF(Vin&lt;Vout, E29^2*ESR/'Power Loss'!$B$31/1000, (0.5*C29/SQRT(3))^2*'Power Loss'!$B$33/'Power Loss'!$B$31/1000)</f>
        <v>2.2221353034376668E-5</v>
      </c>
      <c r="K13" s="81"/>
      <c r="L13" s="81"/>
      <c r="M13" s="81"/>
      <c r="N13" s="81"/>
      <c r="O13" s="81"/>
    </row>
    <row r="14" spans="1:16" s="62" customFormat="1" ht="12.95" customHeight="1" x14ac:dyDescent="0.2">
      <c r="A14" s="83">
        <f>Imin+(Imax-Imin)*0.0025</f>
        <v>1.4975E-2</v>
      </c>
      <c r="B14" s="84">
        <f t="shared" si="0"/>
        <v>0.18972387027285301</v>
      </c>
      <c r="C14" s="85">
        <f t="shared" ref="C14:C23" si="1">Vout*A14/(Vout*A14+B14)*100</f>
        <v>29.100068667716339</v>
      </c>
      <c r="D14" s="86">
        <f>IF(Vin&lt;Vout,'Power Loss'!$B$52/1000*(A30/(1-B30)*SQRT(1+1/3*(C30*(1-B30)/A30)^2))^2,D30^2*'Power Loss'!$B$52/('Power Loss'!$B$60*1000)+ABS(Vin*(A30-0.5*C30)*'Power Loss'!$B$58*10^-9*Fs*10^3/2)+Vin*(A30+0.5*C30)*'Power Loss'!$B$59*10^-9*Fs*10^3/2+Vin*Fs*10^3*'Power Loss'!$B$54*10^-9*'Power Loss'!$B$60+0.5*'Power Loss'!$B$57*10^-9*Vin^2*Fs*10^3*'Power Loss'!$B$60)</f>
        <v>7.5951743536234084E-8</v>
      </c>
      <c r="E14" s="86">
        <f>IF(Vin&lt;Vout,0, E30^2*'Power Loss'!$B$69/('Power Loss'!$B$111*1000)+'Power Loss'!$B$70*Fs*10^-6*(('Efficiency Summary'!A30/(1-'Efficiency Summary'!B30)+0.5*'Efficiency Summary'!C30)*'Power Loss'!$B$109+('Efficiency Summary'!A30/(1-'Efficiency Summary'!B30)-0.5*'Efficiency Summary'!C30)*'Power Loss'!$B$92)+0.5*'Power Loss'!$B$88*Vout*Fs*10^-6*'Power Loss'!$B$93+'Power Loss'!$B$90*10^-6*'Power Loss'!$B$93*Vout^2*Fs/2)</f>
        <v>0</v>
      </c>
      <c r="F14" s="86">
        <f>IF(Vin&lt;Vout,D30^2*Ron_u/('Power Loss'!$B$93*1000)+ABS(Vout*(A30/(1-B30)-0.5*C30)*'Power Loss'!$B$91*10^-6*Fs/2)+Vout*(A30/(1-B30)+0.5*C30)*'Power Loss'!$B$92*10^-6*Fs/2+'Power Loss'!$B$86*Fs*10^-6*(('Efficiency Summary'!A30/(1-'Efficiency Summary'!B30)+0.5*'Efficiency Summary'!C30)*'Power Loss'!$B$91+('Efficiency Summary'!A30/(1-'Efficiency Summary'!B30)-0.5*'Efficiency Summary'!C30)*'Power Loss'!$B$92)+'Power Loss'!$B$87*Vout*Fs*10^-6*'Power Loss'!$B$93+0.5*'Power Loss'!$B$90*10^-6*Vout^2*Fs*'Power Loss'!$B$93,Ron_u*(Iout^2+C30^2/12)/1000)</f>
        <v>2.4812830565348224E-2</v>
      </c>
      <c r="G14" s="86">
        <f>IF(Vin&lt;Vout,E30^2*Ron_l/('Power Loss'!$B$111*1000)+'Power Loss'!$B$104*Fs*10^-6*(('Efficiency Summary'!A30/(1-'Efficiency Summary'!B30)+0.5*'Efficiency Summary'!C30)*'Power Loss'!$B$109+('Efficiency Summary'!A30/(1-'Efficiency Summary'!B30)-0.5*'Efficiency Summary'!C30)*'Power Loss'!$B$110)+0.5*'Power Loss'!$B$105*Vout*Fs*10^-6*'Power Loss'!$B$111+'Power Loss'!$B$108*10^-6*'Power Loss'!$B$111*Vout^2*Fs/2,0)</f>
        <v>5.6656901146133129E-3</v>
      </c>
      <c r="H14" s="86">
        <f>IF(Vin&lt;Vout,'Power Loss'!$B$119*'Power Loss'!$B$121/1000+'Power Loss'!$B$124+'Power Loss'!$B$125,'Power Loss'!$B$119*'Power Loss'!$B$121/1000+'Power Loss'!$B$122+'Power Loss'!$B$123)</f>
        <v>7.4137142857142846E-2</v>
      </c>
      <c r="I14" s="86">
        <f>IF(Vin&lt;Vout,1.68*10^(-9)*(Fs)^1.35*(57.8*0.5*C30)^2.263+DCR*(('Efficiency Summary'!A30/(1-'Efficiency Summary'!B30))^2+'Efficiency Summary'!C30^2/12)/1000,1.68*10^(-9)*(Fs)^1.35*(57.8*0.5*Irip)^2.263+DCR*('Efficiency Summary'!A30^2+'Efficiency Summary'!C30^2/12)/1000)</f>
        <v>8.5085880524204988E-2</v>
      </c>
      <c r="J14" s="87">
        <f>IF(Vin&lt;Vout, E30^2*ESR/'Power Loss'!$B$31/1000, (0.5*C30/SQRT(3))^2*'Power Loss'!$B$33/'Power Loss'!$B$31/1000)</f>
        <v>2.2250259800103098E-5</v>
      </c>
      <c r="K14" s="81"/>
      <c r="L14" s="81"/>
      <c r="M14" s="81"/>
      <c r="N14" s="81"/>
      <c r="O14" s="81"/>
    </row>
    <row r="15" spans="1:16" s="62" customFormat="1" ht="12.95" customHeight="1" x14ac:dyDescent="0.2">
      <c r="A15" s="83">
        <f>Imin+(Imax-Imin)*0.01</f>
        <v>2.9900000000000003E-2</v>
      </c>
      <c r="B15" s="84">
        <f t="shared" si="0"/>
        <v>0.19022096033711763</v>
      </c>
      <c r="C15" s="85">
        <f t="shared" si="1"/>
        <v>44.975287268042415</v>
      </c>
      <c r="D15" s="86">
        <f>IF(Vin&lt;Vout,'Power Loss'!$B$52/1000*(A31/(1-B31)*SQRT(1+1/3*(C31*(1-B31)/A31)^2))^2,D31^2*'Power Loss'!$B$52/('Power Loss'!$B$60*1000)+ABS(Vin*(A31-0.5*C31)*'Power Loss'!$B$58*10^-9*Fs*10^3/2)+Vin*(A31+0.5*C31)*'Power Loss'!$B$59*10^-9*Fs*10^3/2+Vin*Fs*10^3*'Power Loss'!$B$54*10^-9*'Power Loss'!$B$60+0.5*'Power Loss'!$B$57*10^-9*Vin^2*Fs*10^3*'Power Loss'!$B$60)</f>
        <v>7.6146771287397038E-8</v>
      </c>
      <c r="E15" s="86">
        <f>IF(Vin&lt;Vout,0, E31^2*'Power Loss'!$B$69/('Power Loss'!$B$111*1000)+'Power Loss'!$B$70*Fs*10^-6*(('Efficiency Summary'!A31/(1-'Efficiency Summary'!B31)+0.5*'Efficiency Summary'!C31)*'Power Loss'!$B$109+('Efficiency Summary'!A31/(1-'Efficiency Summary'!B31)-0.5*'Efficiency Summary'!C31)*'Power Loss'!$B$92)+0.5*'Power Loss'!$B$88*Vout*Fs*10^-6*'Power Loss'!$B$93+'Power Loss'!$B$90*10^-6*'Power Loss'!$B$93*Vout^2*Fs/2)</f>
        <v>0</v>
      </c>
      <c r="F15" s="86">
        <f>IF(Vin&lt;Vout,D31^2*Ron_u/('Power Loss'!$B$93*1000)+ABS(Vout*(A31/(1-B31)-0.5*C31)*'Power Loss'!$B$91*10^-6*Fs/2)+Vout*(A31/(1-B31)+0.5*C31)*'Power Loss'!$B$92*10^-6*Fs/2+'Power Loss'!$B$86*Fs*10^-6*(('Efficiency Summary'!A31/(1-'Efficiency Summary'!B31)+0.5*'Efficiency Summary'!C31)*'Power Loss'!$B$91+('Efficiency Summary'!A31/(1-'Efficiency Summary'!B31)-0.5*'Efficiency Summary'!C31)*'Power Loss'!$B$92)+'Power Loss'!$B$87*Vout*Fs*10^-6*'Power Loss'!$B$93+0.5*'Power Loss'!$B$90*10^-6*Vout^2*Fs*'Power Loss'!$B$93,Ron_u*(Iout^2+C31^2/12)/1000)</f>
        <v>2.5017570553540595E-2</v>
      </c>
      <c r="G15" s="86">
        <f>IF(Vin&lt;Vout,E31^2*Ron_l/('Power Loss'!$B$111*1000)+'Power Loss'!$B$104*Fs*10^-6*(('Efficiency Summary'!A31/(1-'Efficiency Summary'!B31)+0.5*'Efficiency Summary'!C31)*'Power Loss'!$B$109+('Efficiency Summary'!A31/(1-'Efficiency Summary'!B31)-0.5*'Efficiency Summary'!C31)*'Power Loss'!$B$110)+0.5*'Power Loss'!$B$105*Vout*Fs*10^-6*'Power Loss'!$B$111+'Power Loss'!$B$108*10^-6*'Power Loss'!$B$111*Vout^2*Fs/2,0)</f>
        <v>5.8475988934519486E-3</v>
      </c>
      <c r="H15" s="86">
        <f>IF(Vin&lt;Vout,'Power Loss'!$B$119*'Power Loss'!$B$121/1000+'Power Loss'!$B$124+'Power Loss'!$B$125,'Power Loss'!$B$119*'Power Loss'!$B$121/1000+'Power Loss'!$B$122+'Power Loss'!$B$123)</f>
        <v>7.4137142857142846E-2</v>
      </c>
      <c r="I15" s="86">
        <f>IF(Vin&lt;Vout,1.68*10^(-9)*(Fs)^1.35*(57.8*0.5*C31)^2.263+DCR*(('Efficiency Summary'!A31/(1-'Efficiency Summary'!B31))^2+'Efficiency Summary'!C31^2/12)/1000,1.68*10^(-9)*(Fs)^1.35*(57.8*0.5*Irip)^2.263+DCR*('Efficiency Summary'!A31^2+'Efficiency Summary'!C31^2/12)/1000)</f>
        <v>8.5196200000348069E-2</v>
      </c>
      <c r="J15" s="87">
        <f>IF(Vin&lt;Vout, E31^2*ESR/'Power Loss'!$B$31/1000, (0.5*C31/SQRT(3))^2*'Power Loss'!$B$33/'Power Loss'!$B$31/1000)</f>
        <v>2.2371885862881053E-5</v>
      </c>
      <c r="K15" s="81"/>
      <c r="L15" s="81"/>
      <c r="M15" s="81"/>
      <c r="N15" s="81"/>
      <c r="O15" s="81"/>
    </row>
    <row r="16" spans="1:16" s="62" customFormat="1" ht="12.95" customHeight="1" x14ac:dyDescent="0.2">
      <c r="A16" s="83">
        <f>Imin+(Imax-Imin)*0.05</f>
        <v>0.1095</v>
      </c>
      <c r="B16" s="84">
        <f t="shared" si="0"/>
        <v>0.19330152450459412</v>
      </c>
      <c r="C16" s="85">
        <f t="shared" si="1"/>
        <v>74.655678755834217</v>
      </c>
      <c r="D16" s="86">
        <f>IF(Vin&lt;Vout,'Power Loss'!$B$52/1000*(A32/(1-B32)*SQRT(1+1/3*(C32*(1-B32)/A32)^2))^2,D32^2*'Power Loss'!$B$52/('Power Loss'!$B$60*1000)+ABS(Vin*(A32-0.5*C32)*'Power Loss'!$B$58*10^-9*Fs*10^3/2)+Vin*(A32+0.5*C32)*'Power Loss'!$B$59*10^-9*Fs*10^3/2+Vin*Fs*10^3*'Power Loss'!$B$54*10^-9*'Power Loss'!$B$60+0.5*'Power Loss'!$B$57*10^-9*Vin^2*Fs*10^3*'Power Loss'!$B$60)</f>
        <v>7.8463613319986514E-8</v>
      </c>
      <c r="E16" s="86">
        <f>IF(Vin&lt;Vout,0, E32^2*'Power Loss'!$B$69/('Power Loss'!$B$111*1000)+'Power Loss'!$B$70*Fs*10^-6*(('Efficiency Summary'!A32/(1-'Efficiency Summary'!B32)+0.5*'Efficiency Summary'!C32)*'Power Loss'!$B$109+('Efficiency Summary'!A32/(1-'Efficiency Summary'!B32)-0.5*'Efficiency Summary'!C32)*'Power Loss'!$B$92)+0.5*'Power Loss'!$B$88*Vout*Fs*10^-6*'Power Loss'!$B$93+'Power Loss'!$B$90*10^-6*'Power Loss'!$B$93*Vout^2*Fs/2)</f>
        <v>0</v>
      </c>
      <c r="F16" s="86">
        <f>IF(Vin&lt;Vout,D32^2*Ron_u/('Power Loss'!$B$93*1000)+ABS(Vout*(A32/(1-B32)-0.5*C32)*'Power Loss'!$B$91*10^-6*Fs/2)+Vout*(A32/(1-B32)+0.5*C32)*'Power Loss'!$B$92*10^-6*Fs/2+'Power Loss'!$B$86*Fs*10^-6*(('Efficiency Summary'!A32/(1-'Efficiency Summary'!B32)+0.5*'Efficiency Summary'!C32)*'Power Loss'!$B$91+('Efficiency Summary'!A32/(1-'Efficiency Summary'!B32)-0.5*'Efficiency Summary'!C32)*'Power Loss'!$B$92)+'Power Loss'!$B$87*Vout*Fs*10^-6*'Power Loss'!$B$93+0.5*'Power Loss'!$B$90*10^-6*Vout^2*Fs*'Power Loss'!$B$93,Ron_u*(Iout^2+C32^2/12)/1000)</f>
        <v>2.6355500821423287E-2</v>
      </c>
      <c r="G16" s="86">
        <f>IF(Vin&lt;Vout,E32^2*Ron_l/('Power Loss'!$B$111*1000)+'Power Loss'!$B$104*Fs*10^-6*(('Efficiency Summary'!A32/(1-'Efficiency Summary'!B32)+0.5*'Efficiency Summary'!C32)*'Power Loss'!$B$109+('Efficiency Summary'!A32/(1-'Efficiency Summary'!B32)-0.5*'Efficiency Summary'!C32)*'Power Loss'!$B$110)+0.5*'Power Loss'!$B$105*Vout*Fs*10^-6*'Power Loss'!$B$111+'Power Loss'!$B$108*10^-6*'Power Loss'!$B$111*Vout^2*Fs/2,0)</f>
        <v>6.9224542427461155E-3</v>
      </c>
      <c r="H16" s="86">
        <f>IF(Vin&lt;Vout,'Power Loss'!$B$119*'Power Loss'!$B$121/1000+'Power Loss'!$B$124+'Power Loss'!$B$125,'Power Loss'!$B$119*'Power Loss'!$B$121/1000+'Power Loss'!$B$122+'Power Loss'!$B$123)</f>
        <v>7.4137142857142846E-2</v>
      </c>
      <c r="I16" s="86">
        <f>IF(Vin&lt;Vout,1.68*10^(-9)*(Fs)^1.35*(57.8*0.5*C32)^2.263+DCR*(('Efficiency Summary'!A32/(1-'Efficiency Summary'!B32))^2+'Efficiency Summary'!C32^2/12)/1000,1.68*10^(-9)*(Fs)^1.35*(57.8*0.5*Irip)^2.263+DCR*('Efficiency Summary'!A32^2+'Efficiency Summary'!C32^2/12)/1000)</f>
        <v>8.5862438203144209E-2</v>
      </c>
      <c r="J16" s="87">
        <f>IF(Vin&lt;Vout, E32^2*ESR/'Power Loss'!$B$31/1000, (0.5*C32/SQRT(3))^2*'Power Loss'!$B$33/'Power Loss'!$B$31/1000)</f>
        <v>2.3909916524337023E-5</v>
      </c>
      <c r="K16" s="81"/>
      <c r="L16" s="81"/>
      <c r="M16" s="81"/>
      <c r="N16" s="81"/>
      <c r="O16" s="81"/>
    </row>
    <row r="17" spans="1:15" s="62" customFormat="1" ht="12.95" customHeight="1" x14ac:dyDescent="0.2">
      <c r="A17" s="83">
        <f>Imin+(Imax-Imin)*0.2</f>
        <v>0.40800000000000003</v>
      </c>
      <c r="B17" s="84">
        <f t="shared" si="0"/>
        <v>0.21135639879777141</v>
      </c>
      <c r="C17" s="85">
        <f t="shared" si="1"/>
        <v>90.940405105440945</v>
      </c>
      <c r="D17" s="86">
        <f>IF(Vin&lt;Vout,'Power Loss'!$B$52/1000*(A33/(1-B33)*SQRT(1+1/3*(C33*(1-B33)/A33)^2))^2,D33^2*'Power Loss'!$B$52/('Power Loss'!$B$60*1000)+ABS(Vin*(A33-0.5*C33)*'Power Loss'!$B$58*10^-9*Fs*10^3/2)+Vin*(A33+0.5*C33)*'Power Loss'!$B$59*10^-9*Fs*10^3/2+Vin*Fs*10^3*'Power Loss'!$B$54*10^-9*'Power Loss'!$B$60+0.5*'Power Loss'!$B$57*10^-9*Vin^2*Fs*10^3*'Power Loss'!$B$60)</f>
        <v>1.0646622704568649E-7</v>
      </c>
      <c r="E17" s="86">
        <f>IF(Vin&lt;Vout,0, E33^2*'Power Loss'!$B$69/('Power Loss'!$B$111*1000)+'Power Loss'!$B$70*Fs*10^-6*(('Efficiency Summary'!A33/(1-'Efficiency Summary'!B33)+0.5*'Efficiency Summary'!C33)*'Power Loss'!$B$109+('Efficiency Summary'!A33/(1-'Efficiency Summary'!B33)-0.5*'Efficiency Summary'!C33)*'Power Loss'!$B$92)+0.5*'Power Loss'!$B$88*Vout*Fs*10^-6*'Power Loss'!$B$93+'Power Loss'!$B$90*10^-6*'Power Loss'!$B$93*Vout^2*Fs/2)</f>
        <v>0</v>
      </c>
      <c r="F17" s="86">
        <f>IF(Vin&lt;Vout,D33^2*Ron_u/('Power Loss'!$B$93*1000)+ABS(Vout*(A33/(1-B33)-0.5*C33)*'Power Loss'!$B$91*10^-6*Fs/2)+Vout*(A33/(1-B33)+0.5*C33)*'Power Loss'!$B$92*10^-6*Fs/2+'Power Loss'!$B$86*Fs*10^-6*(('Efficiency Summary'!A33/(1-'Efficiency Summary'!B33)+0.5*'Efficiency Summary'!C33)*'Power Loss'!$B$91+('Efficiency Summary'!A33/(1-'Efficiency Summary'!B33)-0.5*'Efficiency Summary'!C33)*'Power Loss'!$B$92)+'Power Loss'!$B$87*Vout*Fs*10^-6*'Power Loss'!$B$93+0.5*'Power Loss'!$B$90*10^-6*Vout^2*Fs*'Power Loss'!$B$93,Ron_u*(Iout^2+C33^2/12)/1000)</f>
        <v>3.5078299876050191E-2</v>
      </c>
      <c r="G17" s="86">
        <f>IF(Vin&lt;Vout,E33^2*Ron_l/('Power Loss'!$B$111*1000)+'Power Loss'!$B$104*Fs*10^-6*(('Efficiency Summary'!A33/(1-'Efficiency Summary'!B33)+0.5*'Efficiency Summary'!C33)*'Power Loss'!$B$109+('Efficiency Summary'!A33/(1-'Efficiency Summary'!B33)-0.5*'Efficiency Summary'!C33)*'Power Loss'!$B$110)+0.5*'Power Loss'!$B$105*Vout*Fs*10^-6*'Power Loss'!$B$111+'Power Loss'!$B$108*10^-6*'Power Loss'!$B$111*Vout^2*Fs/2,0)</f>
        <v>1.2558781521941793E-2</v>
      </c>
      <c r="H17" s="86">
        <f>IF(Vin&lt;Vout,'Power Loss'!$B$119*'Power Loss'!$B$121/1000+'Power Loss'!$B$124+'Power Loss'!$B$125,'Power Loss'!$B$119*'Power Loss'!$B$121/1000+'Power Loss'!$B$122+'Power Loss'!$B$123)</f>
        <v>7.4137142857142846E-2</v>
      </c>
      <c r="I17" s="86">
        <f>IF(Vin&lt;Vout,1.68*10^(-9)*(Fs)^1.35*(57.8*0.5*C33)^2.263+DCR*(('Efficiency Summary'!A33/(1-'Efficiency Summary'!B33))^2+'Efficiency Summary'!C33^2/12)/1000,1.68*10^(-9)*(Fs)^1.35*(57.8*0.5*Irip)^2.263+DCR*('Efficiency Summary'!A33^2+'Efficiency Summary'!C33^2/12)/1000)</f>
        <v>8.9538746575325318E-2</v>
      </c>
      <c r="J17" s="87">
        <f>IF(Vin&lt;Vout, E33^2*ESR/'Power Loss'!$B$31/1000, (0.5*C33/SQRT(3))^2*'Power Loss'!$B$33/'Power Loss'!$B$31/1000)</f>
        <v>4.3321501084219637E-5</v>
      </c>
      <c r="K17" s="81"/>
      <c r="L17" s="81"/>
      <c r="M17" s="81"/>
      <c r="N17" s="81"/>
      <c r="O17" s="81"/>
    </row>
    <row r="18" spans="1:15" s="62" customFormat="1" ht="12.95" customHeight="1" x14ac:dyDescent="0.2">
      <c r="A18" s="83">
        <f>Imin+(Imax-Imin)*0.4</f>
        <v>0.80600000000000005</v>
      </c>
      <c r="B18" s="84">
        <f t="shared" si="0"/>
        <v>0.25696289974256331</v>
      </c>
      <c r="C18" s="85">
        <f t="shared" si="1"/>
        <v>94.223167956429037</v>
      </c>
      <c r="D18" s="86">
        <f>IF(Vin&lt;Vout,'Power Loss'!$B$52/1000*(A34/(1-B34)*SQRT(1+1/3*(C34*(1-B34)/A34)^2))^2,D34^2*'Power Loss'!$B$52/('Power Loss'!$B$60*1000)+ABS(Vin*(A34-0.5*C34)*'Power Loss'!$B$58*10^-9*Fs*10^3/2)+Vin*(A34+0.5*C34)*'Power Loss'!$B$59*10^-9*Fs*10^3/2+Vin*Fs*10^3*'Power Loss'!$B$54*10^-9*'Power Loss'!$B$60+0.5*'Power Loss'!$B$57*10^-9*Vin^2*Fs*10^3*'Power Loss'!$B$60)</f>
        <v>1.9204964465397893E-7</v>
      </c>
      <c r="E18" s="86">
        <f>IF(Vin&lt;Vout,0, E34^2*'Power Loss'!$B$69/('Power Loss'!$B$111*1000)+'Power Loss'!$B$70*Fs*10^-6*(('Efficiency Summary'!A34/(1-'Efficiency Summary'!B34)+0.5*'Efficiency Summary'!C34)*'Power Loss'!$B$109+('Efficiency Summary'!A34/(1-'Efficiency Summary'!B34)-0.5*'Efficiency Summary'!C34)*'Power Loss'!$B$92)+0.5*'Power Loss'!$B$88*Vout*Fs*10^-6*'Power Loss'!$B$93+'Power Loss'!$B$90*10^-6*'Power Loss'!$B$93*Vout^2*Fs/2)</f>
        <v>0</v>
      </c>
      <c r="F18" s="86">
        <f>IF(Vin&lt;Vout,D34^2*Ron_u/('Power Loss'!$B$93*1000)+ABS(Vout*(A34/(1-B34)-0.5*C34)*'Power Loss'!$B$91*10^-6*Fs/2)+Vout*(A34/(1-B34)+0.5*C34)*'Power Loss'!$B$92*10^-6*Fs/2+'Power Loss'!$B$86*Fs*10^-6*(('Efficiency Summary'!A34/(1-'Efficiency Summary'!B34)+0.5*'Efficiency Summary'!C34)*'Power Loss'!$B$91+('Efficiency Summary'!A34/(1-'Efficiency Summary'!B34)-0.5*'Efficiency Summary'!C34)*'Power Loss'!$B$92)+'Power Loss'!$B$87*Vout*Fs*10^-6*'Power Loss'!$B$93+0.5*'Power Loss'!$B$90*10^-6*Vout^2*Fs*'Power Loss'!$B$93,Ron_u*(Iout^2+C34^2/12)/1000)</f>
        <v>6.1146301189263202E-2</v>
      </c>
      <c r="G18" s="86">
        <f>IF(Vin&lt;Vout,E34^2*Ron_l/('Power Loss'!$B$111*1000)+'Power Loss'!$B$104*Fs*10^-6*(('Efficiency Summary'!A34/(1-'Efficiency Summary'!B34)+0.5*'Efficiency Summary'!C34)*'Power Loss'!$B$109+('Efficiency Summary'!A34/(1-'Efficiency Summary'!B34)-0.5*'Efficiency Summary'!C34)*'Power Loss'!$B$110)+0.5*'Power Loss'!$B$105*Vout*Fs*10^-6*'Power Loss'!$B$111+'Power Loss'!$B$108*10^-6*'Power Loss'!$B$111*Vout^2*Fs/2,0)</f>
        <v>2.4192699925360255E-2</v>
      </c>
      <c r="H18" s="86">
        <f>IF(Vin&lt;Vout,'Power Loss'!$B$119*'Power Loss'!$B$121/1000+'Power Loss'!$B$124+'Power Loss'!$B$125,'Power Loss'!$B$119*'Power Loss'!$B$121/1000+'Power Loss'!$B$122+'Power Loss'!$B$123)</f>
        <v>7.4137142857142846E-2</v>
      </c>
      <c r="I18" s="86">
        <f>IF(Vin&lt;Vout,1.68*10^(-9)*(Fs)^1.35*(57.8*0.5*C34)^2.263+DCR*(('Efficiency Summary'!A34/(1-'Efficiency Summary'!B34))^2+'Efficiency Summary'!C34^2/12)/1000,1.68*10^(-9)*(Fs)^1.35*(57.8*0.5*Irip)^2.263+DCR*('Efficiency Summary'!A34^2+'Efficiency Summary'!C34^2/12)/1000)</f>
        <v>9.7382350034029647E-2</v>
      </c>
      <c r="J18" s="87">
        <f>IF(Vin&lt;Vout, E34^2*ESR/'Power Loss'!$B$31/1000, (0.5*C34/SQRT(3))^2*'Power Loss'!$B$33/'Power Loss'!$B$31/1000)</f>
        <v>1.0421368712270102E-4</v>
      </c>
      <c r="K18" s="81"/>
      <c r="L18" s="81"/>
      <c r="M18" s="81"/>
      <c r="N18" s="81"/>
      <c r="O18" s="81"/>
    </row>
    <row r="19" spans="1:15" s="62" customFormat="1" ht="12.95" customHeight="1" x14ac:dyDescent="0.2">
      <c r="A19" s="83">
        <f>Imin+(Imax-Imin)*0.6</f>
        <v>1.204</v>
      </c>
      <c r="B19" s="84">
        <f t="shared" si="0"/>
        <v>0.32610669421704691</v>
      </c>
      <c r="C19" s="85">
        <f t="shared" si="1"/>
        <v>95.049167851377774</v>
      </c>
      <c r="D19" s="86">
        <f>IF(Vin&lt;Vout,'Power Loss'!$B$52/1000*(A35/(1-B35)*SQRT(1+1/3*(C35*(1-B35)/A35)^2))^2,D35^2*'Power Loss'!$B$52/('Power Loss'!$B$60*1000)+ABS(Vin*(A35-0.5*C35)*'Power Loss'!$B$58*10^-9*Fs*10^3/2)+Vin*(A35+0.5*C35)*'Power Loss'!$B$59*10^-9*Fs*10^3/2+Vin*Fs*10^3*'Power Loss'!$B$54*10^-9*'Power Loss'!$B$60+0.5*'Power Loss'!$B$57*10^-9*Vin^2*Fs*10^3*'Power Loss'!$B$60)</f>
        <v>3.341028068147733E-7</v>
      </c>
      <c r="E19" s="86">
        <f>IF(Vin&lt;Vout,0, E35^2*'Power Loss'!$B$69/('Power Loss'!$B$111*1000)+'Power Loss'!$B$70*Fs*10^-6*(('Efficiency Summary'!A35/(1-'Efficiency Summary'!B35)+0.5*'Efficiency Summary'!C35)*'Power Loss'!$B$109+('Efficiency Summary'!A35/(1-'Efficiency Summary'!B35)-0.5*'Efficiency Summary'!C35)*'Power Loss'!$B$92)+0.5*'Power Loss'!$B$88*Vout*Fs*10^-6*'Power Loss'!$B$93+'Power Loss'!$B$90*10^-6*'Power Loss'!$B$93*Vout^2*Fs/2)</f>
        <v>0</v>
      </c>
      <c r="F19" s="86">
        <f>IF(Vin&lt;Vout,D35^2*Ron_u/('Power Loss'!$B$93*1000)+ABS(Vout*(A35/(1-B35)-0.5*C35)*'Power Loss'!$B$91*10^-6*Fs/2)+Vout*(A35/(1-B35)+0.5*C35)*'Power Loss'!$B$92*10^-6*Fs/2+'Power Loss'!$B$86*Fs*10^-6*(('Efficiency Summary'!A35/(1-'Efficiency Summary'!B35)+0.5*'Efficiency Summary'!C35)*'Power Loss'!$B$91+('Efficiency Summary'!A35/(1-'Efficiency Summary'!B35)-0.5*'Efficiency Summary'!C35)*'Power Loss'!$B$92)+'Power Loss'!$B$87*Vout*Fs*10^-6*'Power Loss'!$B$93+0.5*'Power Loss'!$B$90*10^-6*Vout^2*Fs*'Power Loss'!$B$93,Ron_u*(Iout^2+C35^2/12)/1000)</f>
        <v>0.10226959584070762</v>
      </c>
      <c r="G19" s="86">
        <f>IF(Vin&lt;Vout,E35^2*Ron_l/('Power Loss'!$B$111*1000)+'Power Loss'!$B$104*Fs*10^-6*(('Efficiency Summary'!A35/(1-'Efficiency Summary'!B35)+0.5*'Efficiency Summary'!C35)*'Power Loss'!$B$109+('Efficiency Summary'!A35/(1-'Efficiency Summary'!B35)-0.5*'Efficiency Summary'!C35)*'Power Loss'!$B$110)+0.5*'Power Loss'!$B$105*Vout*Fs*10^-6*'Power Loss'!$B$111+'Power Loss'!$B$108*10^-6*'Power Loss'!$B$111*Vout^2*Fs/2,0)</f>
        <v>4.0823649254194107E-2</v>
      </c>
      <c r="H19" s="86">
        <f>IF(Vin&lt;Vout,'Power Loss'!$B$119*'Power Loss'!$B$121/1000+'Power Loss'!$B$124+'Power Loss'!$B$125,'Power Loss'!$B$119*'Power Loss'!$B$121/1000+'Power Loss'!$B$122+'Power Loss'!$B$123)</f>
        <v>7.4137142857142846E-2</v>
      </c>
      <c r="I19" s="86">
        <f>IF(Vin&lt;Vout,1.68*10^(-9)*(Fs)^1.35*(57.8*0.5*C35)^2.263+DCR*(('Efficiency Summary'!A35/(1-'Efficiency Summary'!B35))^2+'Efficiency Summary'!C35^2/12)/1000,1.68*10^(-9)*(Fs)^1.35*(57.8*0.5*Irip)^2.263+DCR*('Efficiency Summary'!A35^2+'Efficiency Summary'!C35^2/12)/1000)</f>
        <v>0.10866837564331845</v>
      </c>
      <c r="J19" s="87">
        <f>IF(Vin&lt;Vout, E35^2*ESR/'Power Loss'!$B$31/1000, (0.5*C35/SQRT(3))^2*'Power Loss'!$B$33/'Power Loss'!$B$31/1000)</f>
        <v>2.0759651887708035E-4</v>
      </c>
      <c r="K19" s="81"/>
      <c r="L19" s="81"/>
      <c r="M19" s="81"/>
      <c r="N19" s="81"/>
      <c r="O19" s="81"/>
    </row>
    <row r="20" spans="1:15" s="62" customFormat="1" ht="12.95" customHeight="1" x14ac:dyDescent="0.2">
      <c r="A20" s="83">
        <f>Imin+(Imax-Imin)*0.7</f>
        <v>1.403</v>
      </c>
      <c r="B20" s="84">
        <f t="shared" si="0"/>
        <v>0.36804791653330782</v>
      </c>
      <c r="C20" s="85">
        <f t="shared" si="1"/>
        <v>95.197484010985249</v>
      </c>
      <c r="D20" s="86">
        <f>IF(Vin&lt;Vout,'Power Loss'!$B$52/1000*(A36/(1-B36)*SQRT(1+1/3*(C36*(1-B36)/A36)^2))^2,D36^2*'Power Loss'!$B$52/('Power Loss'!$B$60*1000)+ABS(Vin*(A36-0.5*C36)*'Power Loss'!$B$58*10^-9*Fs*10^3/2)+Vin*(A36+0.5*C36)*'Power Loss'!$B$59*10^-9*Fs*10^3/2+Vin*Fs*10^3*'Power Loss'!$B$54*10^-9*'Power Loss'!$B$60+0.5*'Power Loss'!$B$57*10^-9*Vin^2*Fs*10^3*'Power Loss'!$B$60)</f>
        <v>4.2677043551607361E-7</v>
      </c>
      <c r="E20" s="86">
        <f>IF(Vin&lt;Vout,0, E36^2*'Power Loss'!$B$69/('Power Loss'!$B$111*1000)+'Power Loss'!$B$70*Fs*10^-6*(('Efficiency Summary'!A36/(1-'Efficiency Summary'!B36)+0.5*'Efficiency Summary'!C36)*'Power Loss'!$B$109+('Efficiency Summary'!A36/(1-'Efficiency Summary'!B36)-0.5*'Efficiency Summary'!C36)*'Power Loss'!$B$92)+0.5*'Power Loss'!$B$88*Vout*Fs*10^-6*'Power Loss'!$B$93+'Power Loss'!$B$90*10^-6*'Power Loss'!$B$93*Vout^2*Fs/2)</f>
        <v>0</v>
      </c>
      <c r="F20" s="86">
        <f>IF(Vin&lt;Vout,D36^2*Ron_u/('Power Loss'!$B$93*1000)+ABS(Vout*(A36/(1-B36)-0.5*C36)*'Power Loss'!$B$91*10^-6*Fs/2)+Vout*(A36/(1-B36)+0.5*C36)*'Power Loss'!$B$92*10^-6*Fs/2+'Power Loss'!$B$86*Fs*10^-6*(('Efficiency Summary'!A36/(1-'Efficiency Summary'!B36)+0.5*'Efficiency Summary'!C36)*'Power Loss'!$B$91+('Efficiency Summary'!A36/(1-'Efficiency Summary'!B36)-0.5*'Efficiency Summary'!C36)*'Power Loss'!$B$92)+'Power Loss'!$B$87*Vout*Fs*10^-6*'Power Loss'!$B$93+0.5*'Power Loss'!$B$90*10^-6*Vout^2*Fs*'Power Loss'!$B$93,Ron_u*(Iout^2+C36^2/12)/1000)</f>
        <v>0.12688922541354139</v>
      </c>
      <c r="G20" s="86">
        <f>IF(Vin&lt;Vout,E36^2*Ron_l/('Power Loss'!$B$111*1000)+'Power Loss'!$B$104*Fs*10^-6*(('Efficiency Summary'!A36/(1-'Efficiency Summary'!B36)+0.5*'Efficiency Summary'!C36)*'Power Loss'!$B$109+('Efficiency Summary'!A36/(1-'Efficiency Summary'!B36)-0.5*'Efficiency Summary'!C36)*'Power Loss'!$B$110)+0.5*'Power Loss'!$B$105*Vout*Fs*10^-6*'Power Loss'!$B$111+'Power Loss'!$B$108*10^-6*'Power Loss'!$B$111*Vout^2*Fs/2,0)</f>
        <v>5.1114685087729386E-2</v>
      </c>
      <c r="H20" s="86">
        <f>IF(Vin&lt;Vout,'Power Loss'!$B$119*'Power Loss'!$B$121/1000+'Power Loss'!$B$124+'Power Loss'!$B$125,'Power Loss'!$B$119*'Power Loss'!$B$121/1000+'Power Loss'!$B$122+'Power Loss'!$B$123)</f>
        <v>7.4137142857142846E-2</v>
      </c>
      <c r="I20" s="86">
        <f>IF(Vin&lt;Vout,1.68*10^(-9)*(Fs)^1.35*(57.8*0.5*C36)^2.263+DCR*(('Efficiency Summary'!A36/(1-'Efficiency Summary'!B36))^2+'Efficiency Summary'!C36^2/12)/1000,1.68*10^(-9)*(Fs)^1.35*(57.8*0.5*Irip)^2.263+DCR*('Efficiency Summary'!A36^2+'Efficiency Summary'!C36^2/12)/1000)</f>
        <v>0.11563034470918593</v>
      </c>
      <c r="J20" s="87">
        <f>IF(Vin&lt;Vout, E36^2*ESR/'Power Loss'!$B$31/1000, (0.5*C36/SQRT(3))^2*'Power Loss'!$B$33/'Power Loss'!$B$31/1000)</f>
        <v>2.7609169527278732E-4</v>
      </c>
      <c r="K20" s="81"/>
      <c r="L20" s="81"/>
      <c r="M20" s="81"/>
      <c r="N20" s="81"/>
      <c r="O20" s="81"/>
    </row>
    <row r="21" spans="1:15" s="62" customFormat="1" ht="12.95" customHeight="1" x14ac:dyDescent="0.2">
      <c r="A21" s="83">
        <f>Imin+(Imax-Imin)*0.8</f>
        <v>1.6020000000000001</v>
      </c>
      <c r="B21" s="84">
        <f t="shared" si="0"/>
        <v>0.41499756753869638</v>
      </c>
      <c r="C21" s="85">
        <f t="shared" si="1"/>
        <v>95.254674652195447</v>
      </c>
      <c r="D21" s="86">
        <f>IF(Vin&lt;Vout,'Power Loss'!$B$52/1000*(A37/(1-B37)*SQRT(1+1/3*(C37*(1-B37)/A37)^2))^2,D37^2*'Power Loss'!$B$52/('Power Loss'!$B$60*1000)+ABS(Vin*(A37-0.5*C37)*'Power Loss'!$B$58*10^-9*Fs*10^3/2)+Vin*(A37+0.5*C37)*'Power Loss'!$B$59*10^-9*Fs*10^3/2+Vin*Fs*10^3*'Power Loss'!$B$54*10^-9*'Power Loss'!$B$60+0.5*'Power Loss'!$B$57*10^-9*Vin^2*Fs*10^3*'Power Loss'!$B$60)</f>
        <v>5.3411904126706825E-7</v>
      </c>
      <c r="E21" s="86">
        <f>IF(Vin&lt;Vout,0, E37^2*'Power Loss'!$B$69/('Power Loss'!$B$111*1000)+'Power Loss'!$B$70*Fs*10^-6*(('Efficiency Summary'!A37/(1-'Efficiency Summary'!B37)+0.5*'Efficiency Summary'!C37)*'Power Loss'!$B$109+('Efficiency Summary'!A37/(1-'Efficiency Summary'!B37)-0.5*'Efficiency Summary'!C37)*'Power Loss'!$B$92)+0.5*'Power Loss'!$B$88*Vout*Fs*10^-6*'Power Loss'!$B$93+'Power Loss'!$B$90*10^-6*'Power Loss'!$B$93*Vout^2*Fs/2)</f>
        <v>0</v>
      </c>
      <c r="F21" s="86">
        <f>IF(Vin&lt;Vout,D37^2*Ron_u/('Power Loss'!$B$93*1000)+ABS(Vout*(A37/(1-B37)-0.5*C37)*'Power Loss'!$B$91*10^-6*Fs/2)+Vout*(A37/(1-B37)+0.5*C37)*'Power Loss'!$B$92*10^-6*Fs/2+'Power Loss'!$B$86*Fs*10^-6*(('Efficiency Summary'!A37/(1-'Efficiency Summary'!B37)+0.5*'Efficiency Summary'!C37)*'Power Loss'!$B$91+('Efficiency Summary'!A37/(1-'Efficiency Summary'!B37)-0.5*'Efficiency Summary'!C37)*'Power Loss'!$B$92)+'Power Loss'!$B$87*Vout*Fs*10^-6*'Power Loss'!$B$93+0.5*'Power Loss'!$B$90*10^-6*Vout^2*Fs*'Power Loss'!$B$93,Ron_u*(Iout^2+C37^2/12)/1000)</f>
        <v>0.15423826409886598</v>
      </c>
      <c r="G21" s="86">
        <f>IF(Vin&lt;Vout,E37^2*Ron_l/('Power Loss'!$B$111*1000)+'Power Loss'!$B$104*Fs*10^-6*(('Efficiency Summary'!A37/(1-'Efficiency Summary'!B37)+0.5*'Efficiency Summary'!C37)*'Power Loss'!$B$109+('Efficiency Summary'!A37/(1-'Efficiency Summary'!B37)-0.5*'Efficiency Summary'!C37)*'Power Loss'!$B$110)+0.5*'Power Loss'!$B$105*Vout*Fs*10^-6*'Power Loss'!$B$111+'Power Loss'!$B$108*10^-6*'Power Loss'!$B$111*Vout^2*Fs/2,0)</f>
        <v>6.2778443493798991E-2</v>
      </c>
      <c r="H21" s="86">
        <f>IF(Vin&lt;Vout,'Power Loss'!$B$119*'Power Loss'!$B$121/1000+'Power Loss'!$B$124+'Power Loss'!$B$125,'Power Loss'!$B$119*'Power Loss'!$B$121/1000+'Power Loss'!$B$122+'Power Loss'!$B$123)</f>
        <v>7.4137142857142846E-2</v>
      </c>
      <c r="I21" s="86">
        <f>IF(Vin&lt;Vout,1.68*10^(-9)*(Fs)^1.35*(57.8*0.5*C37)^2.263+DCR*(('Efficiency Summary'!A37/(1-'Efficiency Summary'!B37))^2+'Efficiency Summary'!C37^2/12)/1000,1.68*10^(-9)*(Fs)^1.35*(57.8*0.5*Irip)^2.263+DCR*('Efficiency Summary'!A37^2+'Efficiency Summary'!C37^2/12)/1000)</f>
        <v>0.12348691725521323</v>
      </c>
      <c r="J21" s="87">
        <f>IF(Vin&lt;Vout, E37^2*ESR/'Power Loss'!$B$31/1000, (0.5*C37/SQRT(3))^2*'Power Loss'!$B$33/'Power Loss'!$B$31/1000)</f>
        <v>3.5626571463402457E-4</v>
      </c>
      <c r="K21" s="81"/>
      <c r="L21" s="81"/>
      <c r="M21" s="81"/>
      <c r="N21" s="81"/>
      <c r="O21" s="81"/>
    </row>
    <row r="22" spans="1:15" s="62" customFormat="1" ht="12.95" customHeight="1" x14ac:dyDescent="0.2">
      <c r="A22" s="83">
        <f>Imin+(Imax-Imin)*0.9</f>
        <v>1.8009999999999999</v>
      </c>
      <c r="B22" s="84">
        <f t="shared" si="0"/>
        <v>0.4670287113210434</v>
      </c>
      <c r="C22" s="85">
        <f t="shared" si="1"/>
        <v>95.250021891951135</v>
      </c>
      <c r="D22" s="86">
        <f>IF(Vin&lt;Vout,'Power Loss'!$B$52/1000*(A38/(1-B38)*SQRT(1+1/3*(C38*(1-B38)/A38)^2))^2,D38^2*'Power Loss'!$B$52/('Power Loss'!$B$60*1000)+ABS(Vin*(A38-0.5*C38)*'Power Loss'!$B$58*10^-9*Fs*10^3/2)+Vin*(A38+0.5*C38)*'Power Loss'!$B$59*10^-9*Fs*10^3/2+Vin*Fs*10^3*'Power Loss'!$B$54*10^-9*'Power Loss'!$B$60+0.5*'Power Loss'!$B$57*10^-9*Vin^2*Fs*10^3*'Power Loss'!$B$60)</f>
        <v>6.5634246296135788E-7</v>
      </c>
      <c r="E22" s="86">
        <f>IF(Vin&lt;Vout,0, E38^2*'Power Loss'!$B$69/('Power Loss'!$B$111*1000)+'Power Loss'!$B$70*Fs*10^-6*(('Efficiency Summary'!A38/(1-'Efficiency Summary'!B38)+0.5*'Efficiency Summary'!C38)*'Power Loss'!$B$109+('Efficiency Summary'!A38/(1-'Efficiency Summary'!B38)-0.5*'Efficiency Summary'!C38)*'Power Loss'!$B$92)+0.5*'Power Loss'!$B$88*Vout*Fs*10^-6*'Power Loss'!$B$93+'Power Loss'!$B$90*10^-6*'Power Loss'!$B$93*Vout^2*Fs/2)</f>
        <v>0</v>
      </c>
      <c r="F22" s="86">
        <f>IF(Vin&lt;Vout,D38^2*Ron_u/('Power Loss'!$B$93*1000)+ABS(Vout*(A38/(1-B38)-0.5*C38)*'Power Loss'!$B$91*10^-6*Fs/2)+Vout*(A38/(1-B38)+0.5*C38)*'Power Loss'!$B$92*10^-6*Fs/2+'Power Loss'!$B$86*Fs*10^-6*(('Efficiency Summary'!A38/(1-'Efficiency Summary'!B38)+0.5*'Efficiency Summary'!C38)*'Power Loss'!$B$91+('Efficiency Summary'!A38/(1-'Efficiency Summary'!B38)-0.5*'Efficiency Summary'!C38)*'Power Loss'!$B$92)+'Power Loss'!$B$87*Vout*Fs*10^-6*'Power Loss'!$B$93+0.5*'Power Loss'!$B$90*10^-6*Vout^2*Fs*'Power Loss'!$B$93,Ron_u*(Iout^2+C38^2/12)/1000)</f>
        <v>0.18433502302138394</v>
      </c>
      <c r="G22" s="86">
        <f>IF(Vin&lt;Vout,E38^2*Ron_l/('Power Loss'!$B$111*1000)+'Power Loss'!$B$104*Fs*10^-6*(('Efficiency Summary'!A38/(1-'Efficiency Summary'!B38)+0.5*'Efficiency Summary'!C38)*'Power Loss'!$B$109+('Efficiency Summary'!A38/(1-'Efficiency Summary'!B38)-0.5*'Efficiency Summary'!C38)*'Power Loss'!$B$110)+0.5*'Power Loss'!$B$105*Vout*Fs*10^-6*'Power Loss'!$B$111+'Power Loss'!$B$108*10^-6*'Power Loss'!$B$111*Vout^2*Fs/2,0)</f>
        <v>7.5857619551593702E-2</v>
      </c>
      <c r="H22" s="86">
        <f>IF(Vin&lt;Vout,'Power Loss'!$B$119*'Power Loss'!$B$121/1000+'Power Loss'!$B$124+'Power Loss'!$B$125,'Power Loss'!$B$119*'Power Loss'!$B$121/1000+'Power Loss'!$B$122+'Power Loss'!$B$123)</f>
        <v>7.4137142857142846E-2</v>
      </c>
      <c r="I22" s="86">
        <f>IF(Vin&lt;Vout,1.68*10^(-9)*(Fs)^1.35*(57.8*0.5*C38)^2.263+DCR*(('Efficiency Summary'!A38/(1-'Efficiency Summary'!B38))^2+'Efficiency Summary'!C38^2/12)/1000,1.68*10^(-9)*(Fs)^1.35*(57.8*0.5*Irip)^2.263+DCR*('Efficiency Summary'!A38^2+'Efficiency Summary'!C38^2/12)/1000)</f>
        <v>0.13224978572563886</v>
      </c>
      <c r="J22" s="87">
        <f>IF(Vin&lt;Vout, E38^2*ESR/'Power Loss'!$B$31/1000, (0.5*C38/SQRT(3))^2*'Power Loss'!$B$33/'Power Loss'!$B$31/1000)</f>
        <v>4.4848382282102893E-4</v>
      </c>
      <c r="K22" s="81"/>
      <c r="L22" s="81"/>
      <c r="M22" s="81"/>
      <c r="N22" s="81"/>
      <c r="O22" s="81"/>
    </row>
    <row r="23" spans="1:15" s="62" customFormat="1" ht="12.95" customHeight="1" x14ac:dyDescent="0.2">
      <c r="A23" s="83">
        <f>Imin+(Imax-Imin)</f>
        <v>2</v>
      </c>
      <c r="B23" s="84">
        <f t="shared" si="0"/>
        <v>0.52421556009893311</v>
      </c>
      <c r="C23" s="85">
        <f t="shared" si="1"/>
        <v>95.201343682619665</v>
      </c>
      <c r="D23" s="86">
        <f>IF(Vin&lt;Vout,'Power Loss'!$B$52/1000*(A39/(1-B39)*SQRT(1+1/3*(C39*(1-B39)/A39)^2))^2,D39^2*'Power Loss'!$B$52/('Power Loss'!$B$60*1000)+ABS(Vin*(A39-0.5*C39)*'Power Loss'!$B$58*10^-9*Fs*10^3/2)+Vin*(A39+0.5*C39)*'Power Loss'!$B$59*10^-9*Fs*10^3/2+Vin*Fs*10^3*'Power Loss'!$B$54*10^-9*'Power Loss'!$B$60+0.5*'Power Loss'!$B$57*10^-9*Vin^2*Fs*10^3*'Power Loss'!$B$60)</f>
        <v>7.9363750461098647E-7</v>
      </c>
      <c r="E23" s="86">
        <f>IF(Vin&lt;Vout,0, E39^2*'Power Loss'!$B$69/('Power Loss'!$B$111*1000)+'Power Loss'!$B$70*Fs*10^-6*(('Efficiency Summary'!A39/(1-'Efficiency Summary'!B39)+0.5*'Efficiency Summary'!C39)*'Power Loss'!$B$109+('Efficiency Summary'!A39/(1-'Efficiency Summary'!B39)-0.5*'Efficiency Summary'!C39)*'Power Loss'!$B$92)+0.5*'Power Loss'!$B$88*Vout*Fs*10^-6*'Power Loss'!$B$93+'Power Loss'!$B$90*10^-6*'Power Loss'!$B$93*Vout^2*Fs/2)</f>
        <v>0</v>
      </c>
      <c r="F23" s="86">
        <f>IF(Vin&lt;Vout,D39^2*Ron_u/('Power Loss'!$B$93*1000)+ABS(Vout*(A39/(1-B39)-0.5*C39)*'Power Loss'!$B$91*10^-6*Fs/2)+Vout*(A39/(1-B39)+0.5*C39)*'Power Loss'!$B$92*10^-6*Fs/2+'Power Loss'!$B$86*Fs*10^-6*(('Efficiency Summary'!A39/(1-'Efficiency Summary'!B39)+0.5*'Efficiency Summary'!C39)*'Power Loss'!$B$91+('Efficiency Summary'!A39/(1-'Efficiency Summary'!B39)-0.5*'Efficiency Summary'!C39)*'Power Loss'!$B$92)+'Power Loss'!$B$87*Vout*Fs*10^-6*'Power Loss'!$B$93+0.5*'Power Loss'!$B$90*10^-6*Vout^2*Fs*'Power Loss'!$B$93,Ron_u*(Iout^2+C39^2/12)/1000)</f>
        <v>0.21719801284607809</v>
      </c>
      <c r="G23" s="86">
        <f>IF(Vin&lt;Vout,E39^2*Ron_l/('Power Loss'!$B$111*1000)+'Power Loss'!$B$104*Fs*10^-6*(('Efficiency Summary'!A39/(1-'Efficiency Summary'!B39)+0.5*'Efficiency Summary'!C39)*'Power Loss'!$B$109+('Efficiency Summary'!A39/(1-'Efficiency Summary'!B39)-0.5*'Efficiency Summary'!C39)*'Power Loss'!$B$110)+0.5*'Power Loss'!$B$105*Vout*Fs*10^-6*'Power Loss'!$B$111+'Power Loss'!$B$108*10^-6*'Power Loss'!$B$111*Vout^2*Fs/2,0)</f>
        <v>9.0395672342544572E-2</v>
      </c>
      <c r="H23" s="86">
        <f>IF(Vin&lt;Vout,'Power Loss'!$B$119*'Power Loss'!$B$121/1000+'Power Loss'!$B$124+'Power Loss'!$B$125,'Power Loss'!$B$119*'Power Loss'!$B$121/1000+'Power Loss'!$B$122+'Power Loss'!$B$123)</f>
        <v>7.4137142857142846E-2</v>
      </c>
      <c r="I23" s="86">
        <f>IF(Vin&lt;Vout,1.68*10^(-9)*(Fs)^1.35*(57.8*0.5*C39)^2.263+DCR*(('Efficiency Summary'!A39/(1-'Efficiency Summary'!B39))^2+'Efficiency Summary'!C39^2/12)/1000,1.68*10^(-9)*(Fs)^1.35*(57.8*0.5*Irip)^2.263+DCR*('Efficiency Summary'!A39^2+'Efficiency Summary'!C39^2/12)/1000)</f>
        <v>0.14193082060913664</v>
      </c>
      <c r="J23" s="87">
        <f>IF(Vin&lt;Vout, E39^2*ESR/'Power Loss'!$B$31/1000, (0.5*C39/SQRT(3))^2*'Power Loss'!$B$33/'Power Loss'!$B$31/1000)</f>
        <v>5.5311780652634798E-4</v>
      </c>
      <c r="K23" s="81"/>
      <c r="L23" s="81"/>
      <c r="M23" s="81"/>
      <c r="N23" s="81"/>
      <c r="O23" s="81"/>
    </row>
    <row r="24" spans="1:15" s="37" customFormat="1" ht="12.9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s="37" customFormat="1" ht="12.9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s="37" customFormat="1" ht="12.9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s="37" customFormat="1" ht="12.9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s="37" customFormat="1" ht="12.95" customHeight="1" x14ac:dyDescent="0.2">
      <c r="A28" s="13" t="s">
        <v>9</v>
      </c>
      <c r="B28" s="88" t="s">
        <v>131</v>
      </c>
      <c r="C28" s="88" t="s">
        <v>132</v>
      </c>
      <c r="D28" s="88" t="s">
        <v>133</v>
      </c>
      <c r="E28" s="88" t="s">
        <v>134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s="37" customFormat="1" ht="12.95" customHeight="1" x14ac:dyDescent="0.2">
      <c r="A29" s="13">
        <f t="shared" ref="A29:A39" si="2">A13</f>
        <v>0.01</v>
      </c>
      <c r="B29" s="13">
        <f>IF(Vin&lt;Vout, (Vout-Vin+A29*(Vout/Vin)*(DCR+'Power Loss'!$B$42)*0.001)/(Vout+A29*(Vout/Vin)*('Power Loss'!$B$42-'Power Loss'!$B$45)*0.001),0)</f>
        <v>0.23085250208178285</v>
      </c>
      <c r="C29" s="13">
        <f t="shared" ref="C29:C39" si="3">IF(Vin&lt;Vout, Vin*B29/(Lout*10^(-6)*Fs*10^3), (Vin-Vout)*((Vout)/(Vin*Lout*10^(-6)*Fs*10^3)))</f>
        <v>1.5088398828874696</v>
      </c>
      <c r="D29" s="13">
        <f t="shared" ref="D29:D39" si="4">IF(Vin&lt;Vout, A13*SQRT(1-B29)*SQRT(1+1/3*(C29/2/A13)^2)/(1-B29), A13*SQRT(B29)*SQRT(1+1/3*(C29/2/A13)^2))</f>
        <v>0.49677776014211511</v>
      </c>
      <c r="E29" s="13">
        <f t="shared" ref="E29:E39" si="5">IF(Vin&lt;Vout, A13*SQRT(B29)*SQRT(1+1/3*(C29/2/A13)^2)/(1-B29), A13*SQRT(1-B29)*SQRT(1+1/3*(C29/2/A13)^2))</f>
        <v>0.2721602042570801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s="37" customFormat="1" ht="12.95" customHeight="1" x14ac:dyDescent="0.2">
      <c r="A30" s="13">
        <f t="shared" si="2"/>
        <v>1.4975E-2</v>
      </c>
      <c r="B30" s="13">
        <f>IF(Vin&lt;Vout, (Vout-Vin+A30*(Vout/Vin)*(DCR+'Power Loss'!$B$42)*0.001)/(Vout+A30*(Vout/Vin)*('Power Loss'!$B$42-'Power Loss'!$B$45)*0.001),0)</f>
        <v>0.23089393111077677</v>
      </c>
      <c r="C30" s="13">
        <f t="shared" si="3"/>
        <v>1.5091106608547502</v>
      </c>
      <c r="D30" s="13">
        <f t="shared" si="4"/>
        <v>0.49704278723183626</v>
      </c>
      <c r="E30" s="13">
        <f t="shared" si="5"/>
        <v>0.27233716725230567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s="37" customFormat="1" ht="12.95" customHeight="1" x14ac:dyDescent="0.2">
      <c r="A31" s="13">
        <f t="shared" si="2"/>
        <v>2.9900000000000003E-2</v>
      </c>
      <c r="B31" s="13">
        <f>IF(Vin&lt;Vout, (Vout-Vin+A31*(Vout/Vin)*(DCR+'Power Loss'!$B$42)*0.001)/(Vout+A31*(Vout/Vin)*('Power Loss'!$B$42-'Power Loss'!$B$45)*0.001),0)</f>
        <v>0.23101822438150335</v>
      </c>
      <c r="C31" s="13">
        <f t="shared" si="3"/>
        <v>1.5099230351732245</v>
      </c>
      <c r="D31" s="13">
        <f t="shared" si="4"/>
        <v>0.49822506566959163</v>
      </c>
      <c r="E31" s="13">
        <f t="shared" si="5"/>
        <v>0.27308048790836409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s="37" customFormat="1" ht="12.95" customHeight="1" x14ac:dyDescent="0.2">
      <c r="A32" s="13">
        <f t="shared" si="2"/>
        <v>0.1095</v>
      </c>
      <c r="B32" s="13">
        <f>IF(Vin&lt;Vout, (Vout-Vin+A32*(Vout/Vin)*(DCR+'Power Loss'!$B$42)*0.001)/(Vout+A32*(Vout/Vin)*('Power Loss'!$B$42-'Power Loss'!$B$45)*0.001),0)</f>
        <v>0.23168127851922543</v>
      </c>
      <c r="C32" s="13">
        <f t="shared" si="3"/>
        <v>1.5142567223478787</v>
      </c>
      <c r="D32" s="13">
        <f t="shared" si="4"/>
        <v>0.51410714520121892</v>
      </c>
      <c r="E32" s="13">
        <f t="shared" si="5"/>
        <v>0.28231139145948408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8" s="37" customFormat="1" ht="12.95" customHeight="1" x14ac:dyDescent="0.2">
      <c r="A33" s="13">
        <f t="shared" si="2"/>
        <v>0.40800000000000003</v>
      </c>
      <c r="B33" s="13">
        <f>IF(Vin&lt;Vout, (Vout-Vin+A33*(Vout/Vin)*(DCR+'Power Loss'!$B$42)*0.001)/(Vout+A33*(Vout/Vin)*('Power Loss'!$B$42-'Power Loss'!$B$45)*0.001),0)</f>
        <v>0.23417008425517108</v>
      </c>
      <c r="C33" s="13">
        <f t="shared" si="3"/>
        <v>1.5305234265043861</v>
      </c>
      <c r="D33" s="13">
        <f t="shared" si="4"/>
        <v>0.68721333539213669</v>
      </c>
      <c r="E33" s="13">
        <f t="shared" si="5"/>
        <v>0.38000658364568562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8" s="37" customFormat="1" ht="12.95" customHeight="1" x14ac:dyDescent="0.2">
      <c r="A34" s="13">
        <f t="shared" si="2"/>
        <v>0.80600000000000005</v>
      </c>
      <c r="B34" s="13">
        <f>IF(Vin&lt;Vout, (Vout-Vin+A34*(Vout/Vin)*(DCR+'Power Loss'!$B$42)*0.001)/(Vout+A34*(Vout/Vin)*('Power Loss'!$B$42-'Power Loss'!$B$45)*0.001),0)</f>
        <v>0.23749428174695089</v>
      </c>
      <c r="C34" s="13">
        <f t="shared" si="3"/>
        <v>1.5522502074964111</v>
      </c>
      <c r="D34" s="13">
        <f t="shared" si="4"/>
        <v>1.0560797792119525</v>
      </c>
      <c r="E34" s="13">
        <f t="shared" si="5"/>
        <v>0.58938862991719654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8" s="37" customFormat="1" ht="12.95" customHeight="1" x14ac:dyDescent="0.2">
      <c r="A35" s="13">
        <f t="shared" si="2"/>
        <v>1.204</v>
      </c>
      <c r="B35" s="13">
        <f>IF(Vin&lt;Vout, (Vout-Vin+A35*(Vout/Vin)*(DCR+'Power Loss'!$B$42)*0.001)/(Vout+A35*(Vout/Vin)*('Power Loss'!$B$42-'Power Loss'!$B$45)*0.001),0)</f>
        <v>0.24082511436346482</v>
      </c>
      <c r="C35" s="13">
        <f t="shared" si="3"/>
        <v>1.5740203553167635</v>
      </c>
      <c r="D35" s="13">
        <f t="shared" si="4"/>
        <v>1.4769623843673632</v>
      </c>
      <c r="E35" s="13">
        <f t="shared" si="5"/>
        <v>0.83185839916234205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8" s="37" customFormat="1" ht="12.95" customHeight="1" x14ac:dyDescent="0.2">
      <c r="A36" s="13">
        <f t="shared" si="2"/>
        <v>1.403</v>
      </c>
      <c r="B36" s="13">
        <f>IF(Vin&lt;Vout, (Vout-Vin+A36*(Vout/Vin)*(DCR+'Power Loss'!$B$42)*0.001)/(Vout+A36*(Vout/Vin)*('Power Loss'!$B$42-'Power Loss'!$B$45)*0.001),0)</f>
        <v>0.24249302505460985</v>
      </c>
      <c r="C36" s="13">
        <f t="shared" si="3"/>
        <v>1.5849217323830709</v>
      </c>
      <c r="D36" s="13">
        <f t="shared" si="4"/>
        <v>1.6955466250722186</v>
      </c>
      <c r="E36" s="13">
        <f t="shared" si="5"/>
        <v>0.95932562298173352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8" s="37" customFormat="1" ht="12.95" customHeight="1" x14ac:dyDescent="0.2">
      <c r="A37" s="13">
        <f t="shared" si="2"/>
        <v>1.6020000000000001</v>
      </c>
      <c r="B37" s="13">
        <f>IF(Vin&lt;Vout, (Vout-Vin+A37*(Vout/Vin)*(DCR+'Power Loss'!$B$42)*0.001)/(Vout+A37*(Vout/Vin)*('Power Loss'!$B$42-'Power Loss'!$B$45)*0.001),0)</f>
        <v>0.24416260199020154</v>
      </c>
      <c r="C37" s="13">
        <f t="shared" si="3"/>
        <v>1.5958339999359579</v>
      </c>
      <c r="D37" s="13">
        <f t="shared" si="4"/>
        <v>1.9173482596482678</v>
      </c>
      <c r="E37" s="13">
        <f t="shared" si="5"/>
        <v>1.0897487701821071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8" s="37" customFormat="1" ht="12.95" customHeight="1" x14ac:dyDescent="0.2">
      <c r="A38" s="13">
        <f t="shared" si="2"/>
        <v>1.8009999999999999</v>
      </c>
      <c r="B38" s="13">
        <f>IF(Vin&lt;Vout, (Vout-Vin+A38*(Vout/Vin)*(DCR+'Power Loss'!$B$42)*0.001)/(Vout+A38*(Vout/Vin)*('Power Loss'!$B$42-'Power Loss'!$B$45)*0.001),0)</f>
        <v>0.24583384766835756</v>
      </c>
      <c r="C38" s="13">
        <f t="shared" si="3"/>
        <v>1.6067571743029907</v>
      </c>
      <c r="D38" s="13">
        <f t="shared" si="4"/>
        <v>2.1415363133891168</v>
      </c>
      <c r="E38" s="13">
        <f t="shared" si="5"/>
        <v>1.2226798747301342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8" s="37" customFormat="1" ht="12.95" customHeight="1" x14ac:dyDescent="0.2">
      <c r="A39" s="13">
        <f t="shared" si="2"/>
        <v>2</v>
      </c>
      <c r="B39" s="13">
        <f>IF(Vin&lt;Vout, (Vout-Vin+A39*(Vout/Vin)*(DCR+'Power Loss'!$B$42)*0.001)/(Vout+A39*(Vout/Vin)*('Power Loss'!$B$42-'Power Loss'!$B$45)*0.001),0)</f>
        <v>0.24750676459219176</v>
      </c>
      <c r="C39" s="13">
        <f t="shared" si="3"/>
        <v>1.6176912718443905</v>
      </c>
      <c r="D39" s="13">
        <f t="shared" si="4"/>
        <v>2.3675870515989619</v>
      </c>
      <c r="E39" s="13">
        <f t="shared" si="5"/>
        <v>1.3578387318656415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8" ht="22.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8" ht="20.25" customHeight="1" x14ac:dyDescent="0.2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13"/>
      <c r="O41" s="13"/>
    </row>
    <row r="42" spans="1:18" ht="12.95" customHeight="1" x14ac:dyDescent="0.2">
      <c r="A42" s="89" t="s">
        <v>135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13"/>
      <c r="O42" s="13"/>
    </row>
    <row r="43" spans="1:18" ht="12.95" customHeight="1" x14ac:dyDescent="0.2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13"/>
      <c r="O43" s="13"/>
    </row>
    <row r="44" spans="1:18" ht="12.95" customHeight="1" x14ac:dyDescent="0.2">
      <c r="A44" s="90" t="s">
        <v>136</v>
      </c>
      <c r="B44" s="90">
        <v>2</v>
      </c>
      <c r="C44" s="90" t="s">
        <v>10</v>
      </c>
      <c r="D44" s="90"/>
      <c r="E44" s="90"/>
      <c r="F44" s="90"/>
      <c r="G44" s="90"/>
      <c r="H44" s="90"/>
      <c r="I44" s="90"/>
      <c r="J44" s="94" t="s">
        <v>137</v>
      </c>
      <c r="K44" s="90">
        <v>1</v>
      </c>
      <c r="L44" s="90" t="s">
        <v>4</v>
      </c>
      <c r="M44" s="90"/>
      <c r="N44" s="13"/>
      <c r="O44" s="13"/>
    </row>
    <row r="45" spans="1:18" ht="12.95" customHeight="1" x14ac:dyDescent="0.2">
      <c r="A45" s="90" t="s">
        <v>138</v>
      </c>
      <c r="B45" s="90">
        <f>1.015*Vout</f>
        <v>5.2779999999999996</v>
      </c>
      <c r="C45" s="90" t="s">
        <v>4</v>
      </c>
      <c r="D45" s="90"/>
      <c r="E45" s="90"/>
      <c r="F45" s="90"/>
      <c r="G45" s="90"/>
      <c r="H45" s="90"/>
      <c r="I45" s="90"/>
      <c r="J45" s="94" t="s">
        <v>139</v>
      </c>
      <c r="K45" s="90">
        <v>5</v>
      </c>
      <c r="L45" s="90" t="s">
        <v>140</v>
      </c>
      <c r="M45" s="90"/>
      <c r="N45" s="13"/>
      <c r="O45" s="13"/>
    </row>
    <row r="46" spans="1:18" ht="12.95" customHeight="1" x14ac:dyDescent="0.2">
      <c r="A46" s="90" t="s">
        <v>141</v>
      </c>
      <c r="B46" s="90">
        <v>0.2</v>
      </c>
      <c r="C46" s="90" t="s">
        <v>10</v>
      </c>
      <c r="D46" s="90"/>
      <c r="E46" s="90"/>
      <c r="F46" s="90"/>
      <c r="G46" s="90"/>
      <c r="H46" s="90"/>
      <c r="I46" s="90"/>
      <c r="J46" s="90" t="s">
        <v>99</v>
      </c>
      <c r="K46" s="90">
        <v>1500</v>
      </c>
      <c r="L46" s="90" t="s">
        <v>142</v>
      </c>
      <c r="M46" s="90"/>
      <c r="N46" s="13"/>
      <c r="O46" s="13"/>
    </row>
    <row r="47" spans="1:18" s="64" customFormat="1" ht="12.95" customHeight="1" x14ac:dyDescent="0.2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18"/>
      <c r="O47" s="18"/>
    </row>
    <row r="48" spans="1:18" s="64" customFormat="1" ht="12.95" customHeight="1" x14ac:dyDescent="0.2">
      <c r="A48" s="90" t="s">
        <v>143</v>
      </c>
      <c r="B48" s="95">
        <f>+$B$44*Lout*0.000001/(Vin-Vout)</f>
        <v>-1.1333333333333332E-6</v>
      </c>
      <c r="C48" s="90" t="s">
        <v>144</v>
      </c>
      <c r="D48" s="90"/>
      <c r="E48" s="90"/>
      <c r="F48" s="90"/>
      <c r="G48" s="90"/>
      <c r="H48" s="90"/>
      <c r="I48" s="90" t="s">
        <v>145</v>
      </c>
      <c r="J48" s="90"/>
      <c r="K48" s="90"/>
      <c r="L48" s="90"/>
      <c r="M48" s="90"/>
      <c r="N48" s="18"/>
      <c r="O48" s="18"/>
      <c r="P48" s="41"/>
      <c r="Q48" s="41"/>
      <c r="R48" s="41"/>
    </row>
    <row r="49" spans="1:18" s="64" customFormat="1" ht="12.95" customHeight="1" x14ac:dyDescent="0.2">
      <c r="A49" s="18" t="s">
        <v>146</v>
      </c>
      <c r="B49" s="71">
        <f>+$B$44*Lout*0.000001/(Vout)</f>
        <v>2.6153846153846157E-7</v>
      </c>
      <c r="C49" s="18" t="s">
        <v>144</v>
      </c>
      <c r="D49" s="18"/>
      <c r="E49" s="18"/>
      <c r="F49" s="18"/>
      <c r="G49" s="18"/>
      <c r="H49" s="18"/>
      <c r="I49" s="18" t="s">
        <v>147</v>
      </c>
      <c r="J49" s="18"/>
      <c r="K49" s="18"/>
      <c r="L49" s="18"/>
      <c r="M49" s="18"/>
      <c r="N49" s="18"/>
      <c r="O49" s="18"/>
      <c r="P49" s="41"/>
      <c r="Q49" s="41"/>
      <c r="R49" s="41"/>
    </row>
    <row r="50" spans="1:18" s="64" customFormat="1" ht="12.95" customHeight="1" x14ac:dyDescent="0.2">
      <c r="A50" s="18" t="s">
        <v>148</v>
      </c>
      <c r="B50" s="71">
        <f>1/(B48+B49)</f>
        <v>-1147058.823529412</v>
      </c>
      <c r="C50" s="18" t="s">
        <v>149</v>
      </c>
      <c r="D50" s="18"/>
      <c r="E50" s="18"/>
      <c r="F50" s="18"/>
      <c r="G50" s="18"/>
      <c r="H50" s="18"/>
      <c r="I50" s="91" t="s">
        <v>150</v>
      </c>
      <c r="J50" s="18"/>
      <c r="K50" s="18"/>
      <c r="L50" s="18"/>
      <c r="M50" s="18"/>
      <c r="N50" s="18"/>
      <c r="O50" s="18"/>
      <c r="P50" s="41"/>
      <c r="Q50" s="41"/>
      <c r="R50" s="41"/>
    </row>
    <row r="51" spans="1:18" s="64" customFormat="1" ht="12.95" customHeight="1" x14ac:dyDescent="0.2">
      <c r="A51" s="18" t="s">
        <v>151</v>
      </c>
      <c r="B51" s="71">
        <f>2*B46*($B$44/2-B46)/(($B$45-Vout)*$B$44*Cap)</f>
        <v>0.13675213675213782</v>
      </c>
      <c r="C51" s="18" t="s">
        <v>149</v>
      </c>
      <c r="D51" s="18"/>
      <c r="E51" s="18"/>
      <c r="F51" s="18"/>
      <c r="G51" s="18"/>
      <c r="H51" s="18"/>
      <c r="I51" s="91" t="s">
        <v>152</v>
      </c>
      <c r="J51" s="18"/>
      <c r="K51" s="18"/>
      <c r="L51" s="18"/>
      <c r="M51" s="18"/>
      <c r="N51" s="18"/>
      <c r="O51" s="18"/>
      <c r="P51" s="41"/>
      <c r="Q51" s="41"/>
      <c r="R51" s="41"/>
    </row>
    <row r="52" spans="1:18" s="64" customFormat="1" ht="12.95" customHeight="1" x14ac:dyDescent="0.2">
      <c r="A52" s="18" t="s">
        <v>153</v>
      </c>
      <c r="B52" s="71">
        <f>+DCR*0.001*2*'Efficiency Summary'!B46*'Efficiency Summary'!$B$44/3</f>
        <v>1.6000000000000001E-3</v>
      </c>
      <c r="C52" s="18" t="s">
        <v>45</v>
      </c>
      <c r="D52" s="18"/>
      <c r="E52" s="18"/>
      <c r="F52" s="18"/>
      <c r="G52" s="18"/>
      <c r="H52" s="18"/>
      <c r="I52" s="18" t="s">
        <v>154</v>
      </c>
      <c r="J52" s="18"/>
      <c r="K52" s="18"/>
      <c r="L52" s="18"/>
      <c r="M52" s="18"/>
      <c r="N52" s="18"/>
      <c r="O52" s="18"/>
      <c r="P52" s="41"/>
      <c r="Q52" s="41"/>
      <c r="R52" s="41"/>
    </row>
    <row r="53" spans="1:18" s="64" customFormat="1" ht="12.95" customHeight="1" x14ac:dyDescent="0.2">
      <c r="A53" s="18" t="s">
        <v>155</v>
      </c>
      <c r="B53" s="71">
        <f>+DCR*0.001*$B$44*B46/6</f>
        <v>4.0000000000000002E-4</v>
      </c>
      <c r="C53" s="18" t="s">
        <v>45</v>
      </c>
      <c r="D53" s="18"/>
      <c r="E53" s="18"/>
      <c r="F53" s="18"/>
      <c r="G53" s="18"/>
      <c r="H53" s="18"/>
      <c r="I53" s="18" t="s">
        <v>154</v>
      </c>
      <c r="J53" s="18"/>
      <c r="K53" s="18"/>
      <c r="L53" s="18"/>
      <c r="M53" s="18"/>
      <c r="N53" s="18"/>
      <c r="O53" s="18"/>
      <c r="P53" s="41"/>
      <c r="Q53" s="41"/>
      <c r="R53" s="41"/>
    </row>
    <row r="54" spans="1:18" s="64" customFormat="1" ht="12.95" customHeight="1" x14ac:dyDescent="0.2">
      <c r="A54" s="18" t="s">
        <v>156</v>
      </c>
      <c r="B54" s="18">
        <f>2*Ron_u*0.001*'Efficiency Summary'!B46*'Efficiency Summary'!$B$44*Vout/(3*Vin)</f>
        <v>8.666666666666668E-3</v>
      </c>
      <c r="C54" s="18" t="s">
        <v>45</v>
      </c>
      <c r="D54" s="18"/>
      <c r="E54" s="18"/>
      <c r="F54" s="18"/>
      <c r="G54" s="18"/>
      <c r="H54" s="18"/>
      <c r="I54" s="18" t="s">
        <v>157</v>
      </c>
      <c r="J54" s="18"/>
      <c r="K54" s="18"/>
      <c r="L54" s="18"/>
      <c r="M54" s="18"/>
      <c r="N54" s="18"/>
      <c r="O54" s="18"/>
      <c r="P54" s="41"/>
      <c r="Q54" s="41"/>
      <c r="R54" s="41"/>
    </row>
    <row r="55" spans="1:18" s="64" customFormat="1" ht="12.95" customHeight="1" x14ac:dyDescent="0.2">
      <c r="A55" s="18" t="s">
        <v>158</v>
      </c>
      <c r="B55" s="71">
        <f>+B46*(Vout*(Vin-Vout)/('Efficiency Summary'!$B$44*Lout*0.000001))*'Power Loss'!$B$92*0.000000001</f>
        <v>-3.6705882352941182E-3</v>
      </c>
      <c r="C55" s="18" t="s">
        <v>45</v>
      </c>
      <c r="D55" s="18"/>
      <c r="E55" s="18"/>
      <c r="F55" s="18"/>
      <c r="G55" s="18"/>
      <c r="H55" s="18"/>
      <c r="I55" s="18" t="s">
        <v>159</v>
      </c>
      <c r="J55" s="18"/>
      <c r="K55" s="18"/>
      <c r="L55" s="18"/>
      <c r="M55" s="18"/>
      <c r="N55" s="18"/>
      <c r="O55" s="18"/>
      <c r="P55" s="41"/>
      <c r="Q55" s="41"/>
      <c r="R55" s="41"/>
    </row>
    <row r="56" spans="1:18" s="64" customFormat="1" ht="12.95" customHeight="1" x14ac:dyDescent="0.2">
      <c r="A56" s="18" t="s">
        <v>160</v>
      </c>
      <c r="B56" s="18">
        <f>+'Power Loss'!$B$89*0.000000001*Vin^2*2*'Efficiency Summary'!B46*Vout*(Vin-Vout)/(Lout*0.000001*'Power Loss'!$B$119*'Efficiency Summary'!$B$44^2)</f>
        <v>-5.8729411764705903E-3</v>
      </c>
      <c r="C56" s="18" t="s">
        <v>45</v>
      </c>
      <c r="D56" s="18"/>
      <c r="E56" s="18"/>
      <c r="F56" s="18"/>
      <c r="G56" s="18"/>
      <c r="H56" s="18"/>
      <c r="I56" s="18" t="s">
        <v>161</v>
      </c>
      <c r="J56" s="18"/>
      <c r="K56" s="18"/>
      <c r="L56" s="18"/>
      <c r="M56" s="18"/>
      <c r="N56" s="18"/>
      <c r="O56" s="18"/>
      <c r="P56" s="41"/>
      <c r="Q56" s="41"/>
      <c r="R56" s="41"/>
    </row>
    <row r="57" spans="1:18" s="64" customFormat="1" ht="12.95" customHeight="1" x14ac:dyDescent="0.2">
      <c r="A57" s="18" t="s">
        <v>162</v>
      </c>
      <c r="B57" s="18">
        <f>2*Ron_l*0.001*'Efficiency Summary'!$B$46*'Efficiency Summary'!$B$44*(Vin-Vout)/(3*Vin)</f>
        <v>-2.8000000000000008E-3</v>
      </c>
      <c r="C57" s="18" t="s">
        <v>45</v>
      </c>
      <c r="D57" s="18"/>
      <c r="E57" s="18"/>
      <c r="F57" s="18"/>
      <c r="G57" s="18"/>
      <c r="H57" s="18"/>
      <c r="I57" s="18" t="s">
        <v>163</v>
      </c>
      <c r="J57" s="18"/>
      <c r="K57" s="18"/>
      <c r="L57" s="18"/>
      <c r="M57" s="18"/>
      <c r="N57" s="18"/>
      <c r="O57" s="18"/>
      <c r="P57" s="41"/>
      <c r="Q57" s="41"/>
      <c r="R57" s="41"/>
    </row>
    <row r="58" spans="1:18" s="64" customFormat="1" ht="12.95" customHeight="1" x14ac:dyDescent="0.2">
      <c r="A58" s="18" t="s">
        <v>164</v>
      </c>
      <c r="B58" s="18">
        <f>+'Power Loss'!$B$107*0.000000001*Vin^2*2*'Efficiency Summary'!B46*Vout*(Vin-Vout)/(Lout*0.000001*'Power Loss'!$B$119*'Efficiency Summary'!$B$44^2)</f>
        <v>-4.1949579831932777E-3</v>
      </c>
      <c r="C58" s="18" t="s">
        <v>45</v>
      </c>
      <c r="D58" s="18"/>
      <c r="E58" s="18"/>
      <c r="F58" s="18"/>
      <c r="G58" s="18"/>
      <c r="H58" s="18"/>
      <c r="I58" s="18" t="s">
        <v>165</v>
      </c>
      <c r="J58" s="18"/>
      <c r="K58" s="18"/>
      <c r="L58" s="18"/>
      <c r="M58" s="18"/>
      <c r="N58" s="18"/>
      <c r="O58" s="18"/>
      <c r="P58" s="41"/>
      <c r="Q58" s="41"/>
      <c r="R58" s="41"/>
    </row>
    <row r="59" spans="1:18" s="64" customFormat="1" ht="12.95" customHeight="1" x14ac:dyDescent="0.2">
      <c r="A59" s="18" t="s">
        <v>166</v>
      </c>
      <c r="B59" s="18">
        <f>+$K$44*$K$45*0.000000001*2*B46*Vout*(Vin-Vout)/('Efficiency Summary'!$B$44^2*Lout*0.000001*Vin)</f>
        <v>-1.147058823529412E-3</v>
      </c>
      <c r="C59" s="18" t="s">
        <v>45</v>
      </c>
      <c r="D59" s="18"/>
      <c r="E59" s="18"/>
      <c r="F59" s="18"/>
      <c r="G59" s="18"/>
      <c r="H59" s="18"/>
      <c r="I59" s="18" t="s">
        <v>167</v>
      </c>
      <c r="J59" s="18"/>
      <c r="K59" s="18"/>
      <c r="L59" s="18"/>
      <c r="M59" s="18"/>
      <c r="N59" s="18"/>
      <c r="O59" s="18"/>
      <c r="P59" s="41"/>
      <c r="Q59" s="41"/>
      <c r="R59" s="41"/>
    </row>
    <row r="60" spans="1:18" s="64" customFormat="1" ht="12.95" customHeight="1" x14ac:dyDescent="0.2">
      <c r="A60" s="18" t="s">
        <v>168</v>
      </c>
      <c r="B60" s="18">
        <f>+ESR*0.001*B46*$B$44/(6*ncap)</f>
        <v>2.0000000000000002E-5</v>
      </c>
      <c r="C60" s="18" t="s">
        <v>45</v>
      </c>
      <c r="D60" s="18"/>
      <c r="E60" s="18"/>
      <c r="F60" s="18"/>
      <c r="G60" s="18"/>
      <c r="H60" s="18"/>
      <c r="I60" s="18" t="s">
        <v>169</v>
      </c>
      <c r="J60" s="18"/>
      <c r="K60" s="18"/>
      <c r="L60" s="18"/>
      <c r="M60" s="18"/>
      <c r="N60" s="18"/>
      <c r="O60" s="18"/>
      <c r="P60" s="41"/>
      <c r="Q60" s="41"/>
      <c r="R60" s="41"/>
    </row>
    <row r="61" spans="1:18" s="64" customFormat="1" ht="12.95" customHeight="1" x14ac:dyDescent="0.2">
      <c r="A61" s="18" t="s">
        <v>170</v>
      </c>
      <c r="B61" s="18">
        <f>+$K$46*0.000001*(1+20*B46)*Vin</f>
        <v>0.03</v>
      </c>
      <c r="C61" s="18" t="s">
        <v>45</v>
      </c>
      <c r="D61" s="18"/>
      <c r="E61" s="18"/>
      <c r="F61" s="18"/>
      <c r="G61" s="18"/>
      <c r="H61" s="18"/>
      <c r="I61" s="18" t="s">
        <v>171</v>
      </c>
      <c r="J61" s="18"/>
      <c r="K61" s="18"/>
      <c r="L61" s="18"/>
      <c r="M61" s="18"/>
      <c r="N61" s="18"/>
      <c r="O61" s="18"/>
      <c r="P61" s="41"/>
      <c r="Q61" s="41"/>
      <c r="R61" s="41"/>
    </row>
    <row r="62" spans="1:18" s="64" customFormat="1" ht="12.95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41"/>
      <c r="Q62" s="41"/>
      <c r="R62" s="41"/>
    </row>
    <row r="63" spans="1:18" s="64" customFormat="1" ht="12.95" customHeight="1" x14ac:dyDescent="0.2">
      <c r="A63" s="18" t="s">
        <v>172</v>
      </c>
      <c r="B63" s="71">
        <f>SUM(B52:B61)</f>
        <v>2.3001120448179268E-2</v>
      </c>
      <c r="C63" s="18" t="s">
        <v>45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41"/>
      <c r="Q63" s="41"/>
      <c r="R63" s="41"/>
    </row>
    <row r="64" spans="1:18" s="64" customFormat="1" ht="12.95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41"/>
      <c r="Q64" s="41"/>
      <c r="R64" s="41"/>
    </row>
    <row r="65" spans="1:30" s="64" customFormat="1" ht="12.95" customHeight="1" x14ac:dyDescent="0.2">
      <c r="A65" s="18" t="s">
        <v>173</v>
      </c>
      <c r="B65" s="71">
        <f>+Vout*B46/(Vout*B46+'Efficiency Summary'!B63)</f>
        <v>0.97836209199997681</v>
      </c>
      <c r="C65" s="18" t="s">
        <v>13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41"/>
      <c r="Q65" s="41"/>
      <c r="R65" s="41"/>
    </row>
    <row r="66" spans="1:30" s="64" customFormat="1" ht="12.95" customHeight="1" x14ac:dyDescent="0.2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50"/>
      <c r="Q66" s="50"/>
      <c r="R66" s="50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</row>
    <row r="67" spans="1:30" s="64" customFormat="1" ht="12.95" customHeight="1" x14ac:dyDescent="0.2">
      <c r="A67" s="49" t="s">
        <v>174</v>
      </c>
      <c r="B67" s="49" t="s">
        <v>175</v>
      </c>
      <c r="C67" s="49" t="s">
        <v>143</v>
      </c>
      <c r="D67" s="49" t="s">
        <v>146</v>
      </c>
      <c r="E67" s="49" t="s">
        <v>148</v>
      </c>
      <c r="F67" s="49" t="s">
        <v>151</v>
      </c>
      <c r="G67" s="49" t="s">
        <v>153</v>
      </c>
      <c r="H67" s="49" t="s">
        <v>155</v>
      </c>
      <c r="I67" s="49" t="s">
        <v>156</v>
      </c>
      <c r="J67" s="49" t="s">
        <v>158</v>
      </c>
      <c r="K67" s="49" t="s">
        <v>160</v>
      </c>
      <c r="L67" s="49" t="s">
        <v>162</v>
      </c>
      <c r="M67" s="49" t="s">
        <v>164</v>
      </c>
      <c r="N67" s="49" t="s">
        <v>166</v>
      </c>
      <c r="O67" s="49" t="s">
        <v>168</v>
      </c>
      <c r="P67" s="50" t="s">
        <v>170</v>
      </c>
      <c r="Q67" s="50" t="s">
        <v>43</v>
      </c>
      <c r="R67" s="50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</row>
    <row r="68" spans="1:30" s="64" customFormat="1" ht="12.95" customHeight="1" x14ac:dyDescent="0.2">
      <c r="A68" s="49">
        <v>1</v>
      </c>
      <c r="B68" s="49">
        <f>+Imin</f>
        <v>0.01</v>
      </c>
      <c r="C68" s="78">
        <f t="shared" ref="C68:C111" si="6">+$B$44*Lout*0.000001/(Vin-Vout)</f>
        <v>-1.1333333333333332E-6</v>
      </c>
      <c r="D68" s="78">
        <f t="shared" ref="D68:D111" si="7">+$B$44*Lout*0.000001/(Vout)</f>
        <v>2.6153846153846157E-7</v>
      </c>
      <c r="E68" s="78">
        <f>1/(C68+D68)</f>
        <v>-1147058.823529412</v>
      </c>
      <c r="F68" s="78">
        <f t="shared" ref="F68:F111" si="8">2*B68*($B$44/2-B68)/(($B$45-Vout)*$B$44*Cap)</f>
        <v>8.4615384615385272E-3</v>
      </c>
      <c r="G68" s="78">
        <f>+DCR*0.001*2*'Efficiency Summary'!B68*'Efficiency Summary'!$B$44/3</f>
        <v>8.0000000000000007E-5</v>
      </c>
      <c r="H68" s="78">
        <f t="shared" ref="H68" si="9">+DCR*0.001*$B$44*B68/6</f>
        <v>2.0000000000000002E-5</v>
      </c>
      <c r="I68" s="49">
        <f>2*Ron_u*0.001*'Efficiency Summary'!B68*'Efficiency Summary'!$B$44*Vout/(3*Vin)</f>
        <v>4.3333333333333337E-4</v>
      </c>
      <c r="J68" s="78">
        <f>+B68*(Vout*(Vin-Vout)/('Efficiency Summary'!$B$44*Lout*0.000001))*'Power Loss'!$B$92*0.000000001</f>
        <v>-1.8352941176470592E-4</v>
      </c>
      <c r="K68" s="49">
        <f>+'Power Loss'!$B$89*0.000000001*Vin^2*2*'Efficiency Summary'!B68*Vout*(Vin-Vout)/(Lout*0.000001*'Power Loss'!$B$119*'Efficiency Summary'!$B$44^2)</f>
        <v>-2.9364705882352951E-4</v>
      </c>
      <c r="L68" s="49">
        <f>2*Ron_l*0.001*'Efficiency Summary'!$B$46*'Efficiency Summary'!$B$44*(Vin-Vout)/(3*Vin)</f>
        <v>-2.8000000000000008E-3</v>
      </c>
      <c r="M68" s="49">
        <f>+'Power Loss'!$B$107*0.000000001*Vin^2*2*'Efficiency Summary'!B68*Vout*(Vin-Vout)/(Lout*0.000001*'Power Loss'!$B$119*'Efficiency Summary'!$B$44^2)</f>
        <v>-2.0974789915966389E-4</v>
      </c>
      <c r="N68" s="49">
        <f>+$K$44*$K$45*0.000000001*2*B68*Vout*(Vin-Vout)/('Efficiency Summary'!$B$44^2*Lout*0.000001*Vin)</f>
        <v>-5.7352941176470597E-5</v>
      </c>
      <c r="O68" s="49">
        <f t="shared" ref="O68" si="10">+ESR*0.001*B68*$B$44/(6*ncap)</f>
        <v>9.9999999999999995E-7</v>
      </c>
      <c r="P68" s="50">
        <f t="shared" ref="P68:P111" si="11">+$K$46*0.000001*(1+20*B68)*Vin</f>
        <v>7.1999999999999998E-3</v>
      </c>
      <c r="Q68" s="67">
        <v>165.75859652295796</v>
      </c>
      <c r="R68" s="50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</row>
    <row r="69" spans="1:30" s="64" customFormat="1" ht="12.95" customHeight="1" x14ac:dyDescent="0.2">
      <c r="A69" s="49">
        <f>+A68+2</f>
        <v>3</v>
      </c>
      <c r="B69" s="49">
        <f t="shared" ref="B69:B110" si="12">+Imin+($B$44-Imin)*0.01*A69/2</f>
        <v>3.9850000000000003E-2</v>
      </c>
      <c r="C69" s="78">
        <f t="shared" si="6"/>
        <v>-1.1333333333333332E-6</v>
      </c>
      <c r="D69" s="78">
        <f t="shared" si="7"/>
        <v>2.6153846153846157E-7</v>
      </c>
      <c r="E69" s="78">
        <f>1/(C69+D69)</f>
        <v>-1147058.823529412</v>
      </c>
      <c r="F69" s="78">
        <f t="shared" si="8"/>
        <v>3.2702544871795122E-2</v>
      </c>
      <c r="G69" s="78">
        <f>+DCR*0.001*2*'Efficiency Summary'!B69*'Efficiency Summary'!$B$44/3</f>
        <v>3.1880000000000005E-4</v>
      </c>
      <c r="H69" s="78">
        <f t="shared" ref="H69:H111" si="13">+DCR*0.001*$B$44*B69/6</f>
        <v>7.9700000000000013E-5</v>
      </c>
      <c r="I69" s="49">
        <f>2*Ron_u*0.001*'Efficiency Summary'!B69*'Efficiency Summary'!$B$44*Vout/(3*Vin)</f>
        <v>1.7268333333333337E-3</v>
      </c>
      <c r="J69" s="78">
        <f>+B69*(Vout*(Vin-Vout)/('Efficiency Summary'!$B$44*Lout*0.000001))*'Power Loss'!$B$92*0.000000001</f>
        <v>-7.3136470588235308E-4</v>
      </c>
      <c r="K69" s="49">
        <f>+'Power Loss'!$B$89*0.000000001*Vin^2*2*'Efficiency Summary'!B69*Vout*(Vin-Vout)/(Lout*0.000001*'Power Loss'!$B$119*'Efficiency Summary'!$B$44^2)</f>
        <v>-1.1701835294117653E-3</v>
      </c>
      <c r="L69" s="49">
        <f>2*Ron_l*0.001*'Efficiency Summary'!$B$46*'Efficiency Summary'!$B$44*(Vin-Vout)/(3*Vin)</f>
        <v>-2.8000000000000008E-3</v>
      </c>
      <c r="M69" s="49">
        <f>+'Power Loss'!$B$107*0.000000001*Vin^2*2*'Efficiency Summary'!B69*Vout*(Vin-Vout)/(Lout*0.000001*'Power Loss'!$B$119*'Efficiency Summary'!$B$44^2)</f>
        <v>-8.3584537815126073E-4</v>
      </c>
      <c r="N69" s="49">
        <f>+$K$44*$K$45*0.000000001*2*B69*Vout*(Vin-Vout)/('Efficiency Summary'!$B$44^2*Lout*0.000001*Vin)</f>
        <v>-2.2855147058823536E-4</v>
      </c>
      <c r="O69" s="49">
        <f t="shared" ref="O69:O111" si="14">+ESR*0.001*B69*$B$44/(6*ncap)</f>
        <v>3.9850000000000008E-6</v>
      </c>
      <c r="P69" s="50">
        <f t="shared" si="11"/>
        <v>1.0782000000000002E-2</v>
      </c>
      <c r="Q69" s="67">
        <v>118.91042829253932</v>
      </c>
      <c r="R69" s="50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</row>
    <row r="70" spans="1:30" s="64" customFormat="1" ht="12.95" customHeight="1" x14ac:dyDescent="0.2">
      <c r="A70" s="49">
        <f t="shared" ref="A70:A111" si="15">+A69+2</f>
        <v>5</v>
      </c>
      <c r="B70" s="49">
        <f t="shared" si="12"/>
        <v>5.9750000000000004E-2</v>
      </c>
      <c r="C70" s="78">
        <f t="shared" si="6"/>
        <v>-1.1333333333333332E-6</v>
      </c>
      <c r="D70" s="78">
        <f t="shared" si="7"/>
        <v>2.6153846153846157E-7</v>
      </c>
      <c r="E70" s="78">
        <f t="shared" ref="E70:E111" si="16">1/(C70+D70)</f>
        <v>-1147058.823529412</v>
      </c>
      <c r="F70" s="78">
        <f t="shared" si="8"/>
        <v>4.8017040598290969E-2</v>
      </c>
      <c r="G70" s="78">
        <f>+DCR*0.001*2*'Efficiency Summary'!B70*'Efficiency Summary'!$B$44/3</f>
        <v>4.7800000000000007E-4</v>
      </c>
      <c r="H70" s="78">
        <f t="shared" si="13"/>
        <v>1.1950000000000002E-4</v>
      </c>
      <c r="I70" s="49">
        <f>2*Ron_u*0.001*'Efficiency Summary'!B70*'Efficiency Summary'!$B$44*Vout/(3*Vin)</f>
        <v>2.5891666666666671E-3</v>
      </c>
      <c r="J70" s="78">
        <f>+B70*(Vout*(Vin-Vout)/('Efficiency Summary'!$B$44*Lout*0.000001))*'Power Loss'!$B$92*0.000000001</f>
        <v>-1.0965882352941179E-3</v>
      </c>
      <c r="K70" s="49">
        <f>+'Power Loss'!$B$89*0.000000001*Vin^2*2*'Efficiency Summary'!B70*Vout*(Vin-Vout)/(Lout*0.000001*'Power Loss'!$B$119*'Efficiency Summary'!$B$44^2)</f>
        <v>-1.7545411764705889E-3</v>
      </c>
      <c r="L70" s="49">
        <f>2*Ron_l*0.001*'Efficiency Summary'!$B$46*'Efficiency Summary'!$B$44*(Vin-Vout)/(3*Vin)</f>
        <v>-2.8000000000000008E-3</v>
      </c>
      <c r="M70" s="49">
        <f>+'Power Loss'!$B$107*0.000000001*Vin^2*2*'Efficiency Summary'!B70*Vout*(Vin-Vout)/(Lout*0.000001*'Power Loss'!$B$119*'Efficiency Summary'!$B$44^2)</f>
        <v>-1.2532436974789919E-3</v>
      </c>
      <c r="N70" s="49">
        <f>+$K$44*$K$45*0.000000001*2*B70*Vout*(Vin-Vout)/('Efficiency Summary'!$B$44^2*Lout*0.000001*Vin)</f>
        <v>-3.4268382352941186E-4</v>
      </c>
      <c r="O70" s="49">
        <f t="shared" si="14"/>
        <v>5.9750000000000004E-6</v>
      </c>
      <c r="P70" s="50">
        <f t="shared" si="11"/>
        <v>1.3170000000000001E-2</v>
      </c>
      <c r="Q70" s="67">
        <v>115.27526832687101</v>
      </c>
      <c r="R70" s="50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</row>
    <row r="71" spans="1:30" s="64" customFormat="1" ht="12.95" customHeight="1" x14ac:dyDescent="0.2">
      <c r="A71" s="49">
        <f t="shared" si="15"/>
        <v>7</v>
      </c>
      <c r="B71" s="49">
        <f t="shared" si="12"/>
        <v>7.9649999999999999E-2</v>
      </c>
      <c r="C71" s="78">
        <f t="shared" si="6"/>
        <v>-1.1333333333333332E-6</v>
      </c>
      <c r="D71" s="78">
        <f t="shared" si="7"/>
        <v>2.6153846153846157E-7</v>
      </c>
      <c r="E71" s="78">
        <f t="shared" si="16"/>
        <v>-1147058.823529412</v>
      </c>
      <c r="F71" s="78">
        <f t="shared" si="8"/>
        <v>6.2654596153846637E-2</v>
      </c>
      <c r="G71" s="78">
        <f>+DCR*0.001*2*'Efficiency Summary'!B71*'Efficiency Summary'!$B$44/3</f>
        <v>6.3719999999999998E-4</v>
      </c>
      <c r="H71" s="78">
        <f t="shared" si="13"/>
        <v>1.593E-4</v>
      </c>
      <c r="I71" s="49">
        <f>2*Ron_u*0.001*'Efficiency Summary'!B71*'Efficiency Summary'!$B$44*Vout/(3*Vin)</f>
        <v>3.4515000000000001E-3</v>
      </c>
      <c r="J71" s="78">
        <f>+B71*(Vout*(Vin-Vout)/('Efficiency Summary'!$B$44*Lout*0.000001))*'Power Loss'!$B$92*0.000000001</f>
        <v>-1.4618117647058825E-3</v>
      </c>
      <c r="K71" s="49">
        <f>+'Power Loss'!$B$89*0.000000001*Vin^2*2*'Efficiency Summary'!B71*Vout*(Vin-Vout)/(Lout*0.000001*'Power Loss'!$B$119*'Efficiency Summary'!$B$44^2)</f>
        <v>-2.3388988235294129E-3</v>
      </c>
      <c r="L71" s="49">
        <f>2*Ron_l*0.001*'Efficiency Summary'!$B$46*'Efficiency Summary'!$B$44*(Vin-Vout)/(3*Vin)</f>
        <v>-2.8000000000000008E-3</v>
      </c>
      <c r="M71" s="49">
        <f>+'Power Loss'!$B$107*0.000000001*Vin^2*2*'Efficiency Summary'!B71*Vout*(Vin-Vout)/(Lout*0.000001*'Power Loss'!$B$119*'Efficiency Summary'!$B$44^2)</f>
        <v>-1.6706420168067229E-3</v>
      </c>
      <c r="N71" s="49">
        <f>+$K$44*$K$45*0.000000001*2*B71*Vout*(Vin-Vout)/('Efficiency Summary'!$B$44^2*Lout*0.000001*Vin)</f>
        <v>-4.5681617647058828E-4</v>
      </c>
      <c r="O71" s="49">
        <f t="shared" si="14"/>
        <v>7.9650000000000008E-6</v>
      </c>
      <c r="P71" s="50">
        <f t="shared" si="11"/>
        <v>1.5558000000000001E-2</v>
      </c>
      <c r="Q71" s="67">
        <v>113.53870720461489</v>
      </c>
      <c r="R71" s="50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</row>
    <row r="72" spans="1:30" s="64" customFormat="1" ht="12.95" customHeight="1" x14ac:dyDescent="0.2">
      <c r="A72" s="49">
        <f t="shared" si="15"/>
        <v>9</v>
      </c>
      <c r="B72" s="49">
        <f t="shared" si="12"/>
        <v>9.955E-2</v>
      </c>
      <c r="C72" s="78">
        <f t="shared" si="6"/>
        <v>-1.1333333333333332E-6</v>
      </c>
      <c r="D72" s="78">
        <f t="shared" si="7"/>
        <v>2.6153846153846157E-7</v>
      </c>
      <c r="E72" s="78">
        <f t="shared" si="16"/>
        <v>-1147058.823529412</v>
      </c>
      <c r="F72" s="78">
        <f t="shared" si="8"/>
        <v>7.6615211538462125E-2</v>
      </c>
      <c r="G72" s="78">
        <f>+DCR*0.001*2*'Efficiency Summary'!B72*'Efficiency Summary'!$B$44/3</f>
        <v>7.9640000000000006E-4</v>
      </c>
      <c r="H72" s="78">
        <f t="shared" si="13"/>
        <v>1.9910000000000001E-4</v>
      </c>
      <c r="I72" s="49">
        <f>2*Ron_u*0.001*'Efficiency Summary'!B72*'Efficiency Summary'!$B$44*Vout/(3*Vin)</f>
        <v>4.3138333333333336E-3</v>
      </c>
      <c r="J72" s="78">
        <f>+B72*(Vout*(Vin-Vout)/('Efficiency Summary'!$B$44*Lout*0.000001))*'Power Loss'!$B$92*0.000000001</f>
        <v>-1.8270352941176474E-3</v>
      </c>
      <c r="K72" s="49">
        <f>+'Power Loss'!$B$89*0.000000001*Vin^2*2*'Efficiency Summary'!B72*Vout*(Vin-Vout)/(Lout*0.000001*'Power Loss'!$B$119*'Efficiency Summary'!$B$44^2)</f>
        <v>-2.9232564705882359E-3</v>
      </c>
      <c r="L72" s="49">
        <f>2*Ron_l*0.001*'Efficiency Summary'!$B$46*'Efficiency Summary'!$B$44*(Vin-Vout)/(3*Vin)</f>
        <v>-2.8000000000000008E-3</v>
      </c>
      <c r="M72" s="49">
        <f>+'Power Loss'!$B$107*0.000000001*Vin^2*2*'Efficiency Summary'!B72*Vout*(Vin-Vout)/(Lout*0.000001*'Power Loss'!$B$119*'Efficiency Summary'!$B$44^2)</f>
        <v>-2.0880403361344538E-3</v>
      </c>
      <c r="N72" s="49">
        <f>+$K$44*$K$45*0.000000001*2*B72*Vout*(Vin-Vout)/('Efficiency Summary'!$B$44^2*Lout*0.000001*Vin)</f>
        <v>-5.7094852941176469E-4</v>
      </c>
      <c r="O72" s="49">
        <f t="shared" si="14"/>
        <v>9.9550000000000004E-6</v>
      </c>
      <c r="P72" s="50">
        <f t="shared" si="11"/>
        <v>1.7946E-2</v>
      </c>
      <c r="Q72" s="67">
        <v>112.5213220330303</v>
      </c>
      <c r="R72" s="50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</row>
    <row r="73" spans="1:30" s="64" customFormat="1" ht="12.95" customHeight="1" x14ac:dyDescent="0.2">
      <c r="A73" s="49">
        <f t="shared" si="15"/>
        <v>11</v>
      </c>
      <c r="B73" s="49">
        <f t="shared" si="12"/>
        <v>0.11945</v>
      </c>
      <c r="C73" s="78">
        <f t="shared" si="6"/>
        <v>-1.1333333333333332E-6</v>
      </c>
      <c r="D73" s="78">
        <f t="shared" si="7"/>
        <v>2.6153846153846157E-7</v>
      </c>
      <c r="E73" s="78">
        <f t="shared" si="16"/>
        <v>-1147058.823529412</v>
      </c>
      <c r="F73" s="78">
        <f t="shared" si="8"/>
        <v>8.9898886752137433E-2</v>
      </c>
      <c r="G73" s="78">
        <f>+DCR*0.001*2*'Efficiency Summary'!B73*'Efficiency Summary'!$B$44/3</f>
        <v>9.5560000000000003E-4</v>
      </c>
      <c r="H73" s="78">
        <f t="shared" si="13"/>
        <v>2.3890000000000001E-4</v>
      </c>
      <c r="I73" s="49">
        <f>2*Ron_u*0.001*'Efficiency Summary'!B73*'Efficiency Summary'!$B$44*Vout/(3*Vin)</f>
        <v>5.1761666666666675E-3</v>
      </c>
      <c r="J73" s="78">
        <f>+B73*(Vout*(Vin-Vout)/('Efficiency Summary'!$B$44*Lout*0.000001))*'Power Loss'!$B$92*0.000000001</f>
        <v>-2.1922588235294121E-3</v>
      </c>
      <c r="K73" s="49">
        <f>+'Power Loss'!$B$89*0.000000001*Vin^2*2*'Efficiency Summary'!B73*Vout*(Vin-Vout)/(Lout*0.000001*'Power Loss'!$B$119*'Efficiency Summary'!$B$44^2)</f>
        <v>-3.5076141176470597E-3</v>
      </c>
      <c r="L73" s="49">
        <f>2*Ron_l*0.001*'Efficiency Summary'!$B$46*'Efficiency Summary'!$B$44*(Vin-Vout)/(3*Vin)</f>
        <v>-2.8000000000000008E-3</v>
      </c>
      <c r="M73" s="49">
        <f>+'Power Loss'!$B$107*0.000000001*Vin^2*2*'Efficiency Summary'!B73*Vout*(Vin-Vout)/(Lout*0.000001*'Power Loss'!$B$119*'Efficiency Summary'!$B$44^2)</f>
        <v>-2.5054386554621854E-3</v>
      </c>
      <c r="N73" s="49">
        <f>+$K$44*$K$45*0.000000001*2*B73*Vout*(Vin-Vout)/('Efficiency Summary'!$B$44^2*Lout*0.000001*Vin)</f>
        <v>-6.8508088235294117E-4</v>
      </c>
      <c r="O73" s="49">
        <f t="shared" si="14"/>
        <v>1.1945E-5</v>
      </c>
      <c r="P73" s="50">
        <f t="shared" si="11"/>
        <v>2.0334000000000001E-2</v>
      </c>
      <c r="Q73" s="67">
        <v>111.85299549893199</v>
      </c>
      <c r="R73" s="50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</row>
    <row r="74" spans="1:30" s="64" customFormat="1" ht="12.95" customHeight="1" x14ac:dyDescent="0.2">
      <c r="A74" s="49">
        <f t="shared" si="15"/>
        <v>13</v>
      </c>
      <c r="B74" s="49">
        <f t="shared" si="12"/>
        <v>0.13935000000000003</v>
      </c>
      <c r="C74" s="78">
        <f t="shared" si="6"/>
        <v>-1.1333333333333332E-6</v>
      </c>
      <c r="D74" s="78">
        <f t="shared" si="7"/>
        <v>2.6153846153846157E-7</v>
      </c>
      <c r="E74" s="78">
        <f t="shared" si="16"/>
        <v>-1147058.823529412</v>
      </c>
      <c r="F74" s="78">
        <f t="shared" si="8"/>
        <v>0.10250562179487259</v>
      </c>
      <c r="G74" s="78">
        <f>+DCR*0.001*2*'Efficiency Summary'!B74*'Efficiency Summary'!$B$44/3</f>
        <v>1.1148000000000002E-3</v>
      </c>
      <c r="H74" s="78">
        <f t="shared" si="13"/>
        <v>2.7870000000000005E-4</v>
      </c>
      <c r="I74" s="49">
        <f>2*Ron_u*0.001*'Efficiency Summary'!B74*'Efficiency Summary'!$B$44*Vout/(3*Vin)</f>
        <v>6.0385000000000013E-3</v>
      </c>
      <c r="J74" s="78">
        <f>+B74*(Vout*(Vin-Vout)/('Efficiency Summary'!$B$44*Lout*0.000001))*'Power Loss'!$B$92*0.000000001</f>
        <v>-2.5574823529411774E-3</v>
      </c>
      <c r="K74" s="49">
        <f>+'Power Loss'!$B$89*0.000000001*Vin^2*2*'Efficiency Summary'!B74*Vout*(Vin-Vout)/(Lout*0.000001*'Power Loss'!$B$119*'Efficiency Summary'!$B$44^2)</f>
        <v>-4.0919717647058844E-3</v>
      </c>
      <c r="L74" s="49">
        <f>2*Ron_l*0.001*'Efficiency Summary'!$B$46*'Efficiency Summary'!$B$44*(Vin-Vout)/(3*Vin)</f>
        <v>-2.8000000000000008E-3</v>
      </c>
      <c r="M74" s="49">
        <f>+'Power Loss'!$B$107*0.000000001*Vin^2*2*'Efficiency Summary'!B74*Vout*(Vin-Vout)/(Lout*0.000001*'Power Loss'!$B$119*'Efficiency Summary'!$B$44^2)</f>
        <v>-2.922836974789917E-3</v>
      </c>
      <c r="N74" s="49">
        <f>+$K$44*$K$45*0.000000001*2*B74*Vout*(Vin-Vout)/('Efficiency Summary'!$B$44^2*Lout*0.000001*Vin)</f>
        <v>-7.9921323529411796E-4</v>
      </c>
      <c r="O74" s="49">
        <f t="shared" si="14"/>
        <v>1.3935000000000003E-5</v>
      </c>
      <c r="P74" s="50">
        <f t="shared" si="11"/>
        <v>2.2722000000000006E-2</v>
      </c>
      <c r="Q74" s="67">
        <v>111.38039202322533</v>
      </c>
      <c r="R74" s="50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</row>
    <row r="75" spans="1:30" s="64" customFormat="1" ht="12.95" customHeight="1" x14ac:dyDescent="0.2">
      <c r="A75" s="49">
        <f t="shared" si="15"/>
        <v>15</v>
      </c>
      <c r="B75" s="49">
        <f t="shared" si="12"/>
        <v>0.15925</v>
      </c>
      <c r="C75" s="78">
        <f t="shared" si="6"/>
        <v>-1.1333333333333332E-6</v>
      </c>
      <c r="D75" s="78">
        <f t="shared" si="7"/>
        <v>2.6153846153846157E-7</v>
      </c>
      <c r="E75" s="78">
        <f t="shared" si="16"/>
        <v>-1147058.823529412</v>
      </c>
      <c r="F75" s="78">
        <f t="shared" si="8"/>
        <v>0.11443541666666755</v>
      </c>
      <c r="G75" s="78">
        <f>+DCR*0.001*2*'Efficiency Summary'!B75*'Efficiency Summary'!$B$44/3</f>
        <v>1.2740000000000002E-3</v>
      </c>
      <c r="H75" s="78">
        <f t="shared" si="13"/>
        <v>3.1850000000000004E-4</v>
      </c>
      <c r="I75" s="49">
        <f>2*Ron_u*0.001*'Efficiency Summary'!B75*'Efficiency Summary'!$B$44*Vout/(3*Vin)</f>
        <v>6.9008333333333343E-3</v>
      </c>
      <c r="J75" s="78">
        <f>+B75*(Vout*(Vin-Vout)/('Efficiency Summary'!$B$44*Lout*0.000001))*'Power Loss'!$B$92*0.000000001</f>
        <v>-2.9227058823529414E-3</v>
      </c>
      <c r="K75" s="49">
        <f>+'Power Loss'!$B$89*0.000000001*Vin^2*2*'Efficiency Summary'!B75*Vout*(Vin-Vout)/(Lout*0.000001*'Power Loss'!$B$119*'Efficiency Summary'!$B$44^2)</f>
        <v>-4.6763294117647073E-3</v>
      </c>
      <c r="L75" s="49">
        <f>2*Ron_l*0.001*'Efficiency Summary'!$B$46*'Efficiency Summary'!$B$44*(Vin-Vout)/(3*Vin)</f>
        <v>-2.8000000000000008E-3</v>
      </c>
      <c r="M75" s="49">
        <f>+'Power Loss'!$B$107*0.000000001*Vin^2*2*'Efficiency Summary'!B75*Vout*(Vin-Vout)/(Lout*0.000001*'Power Loss'!$B$119*'Efficiency Summary'!$B$44^2)</f>
        <v>-3.3402352941176473E-3</v>
      </c>
      <c r="N75" s="49">
        <f>+$K$44*$K$45*0.000000001*2*B75*Vout*(Vin-Vout)/('Efficiency Summary'!$B$44^2*Lout*0.000001*Vin)</f>
        <v>-9.1334558823529411E-4</v>
      </c>
      <c r="O75" s="49">
        <f t="shared" si="14"/>
        <v>1.5925000000000001E-5</v>
      </c>
      <c r="P75" s="50">
        <f t="shared" si="11"/>
        <v>2.5110000000000004E-2</v>
      </c>
      <c r="Q75" s="67">
        <v>111.02851530130563</v>
      </c>
      <c r="R75" s="50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</row>
    <row r="76" spans="1:30" s="64" customFormat="1" ht="12.95" customHeight="1" x14ac:dyDescent="0.2">
      <c r="A76" s="49">
        <f t="shared" si="15"/>
        <v>17</v>
      </c>
      <c r="B76" s="49">
        <f t="shared" si="12"/>
        <v>0.17915000000000003</v>
      </c>
      <c r="C76" s="78">
        <f t="shared" si="6"/>
        <v>-1.1333333333333332E-6</v>
      </c>
      <c r="D76" s="78">
        <f t="shared" si="7"/>
        <v>2.6153846153846157E-7</v>
      </c>
      <c r="E76" s="78">
        <f t="shared" si="16"/>
        <v>-1147058.823529412</v>
      </c>
      <c r="F76" s="78">
        <f t="shared" si="8"/>
        <v>0.12568827136752236</v>
      </c>
      <c r="G76" s="78">
        <f>+DCR*0.001*2*'Efficiency Summary'!B76*'Efficiency Summary'!$B$44/3</f>
        <v>1.4332000000000001E-3</v>
      </c>
      <c r="H76" s="78">
        <f t="shared" si="13"/>
        <v>3.5830000000000004E-4</v>
      </c>
      <c r="I76" s="49">
        <f>2*Ron_u*0.001*'Efficiency Summary'!B76*'Efficiency Summary'!$B$44*Vout/(3*Vin)</f>
        <v>7.7631666666666682E-3</v>
      </c>
      <c r="J76" s="78">
        <f>+B76*(Vout*(Vin-Vout)/('Efficiency Summary'!$B$44*Lout*0.000001))*'Power Loss'!$B$92*0.000000001</f>
        <v>-3.2879294117647067E-3</v>
      </c>
      <c r="K76" s="49">
        <f>+'Power Loss'!$B$89*0.000000001*Vin^2*2*'Efficiency Summary'!B76*Vout*(Vin-Vout)/(Lout*0.000001*'Power Loss'!$B$119*'Efficiency Summary'!$B$44^2)</f>
        <v>-5.260687058823532E-3</v>
      </c>
      <c r="L76" s="49">
        <f>2*Ron_l*0.001*'Efficiency Summary'!$B$46*'Efficiency Summary'!$B$44*(Vin-Vout)/(3*Vin)</f>
        <v>-2.8000000000000008E-3</v>
      </c>
      <c r="M76" s="49">
        <f>+'Power Loss'!$B$107*0.000000001*Vin^2*2*'Efficiency Summary'!B76*Vout*(Vin-Vout)/(Lout*0.000001*'Power Loss'!$B$119*'Efficiency Summary'!$B$44^2)</f>
        <v>-3.7576336134453785E-3</v>
      </c>
      <c r="N76" s="49">
        <f>+$K$44*$K$45*0.000000001*2*B76*Vout*(Vin-Vout)/('Efficiency Summary'!$B$44^2*Lout*0.000001*Vin)</f>
        <v>-1.0274779411764707E-3</v>
      </c>
      <c r="O76" s="49">
        <f t="shared" si="14"/>
        <v>1.7915000000000004E-5</v>
      </c>
      <c r="P76" s="50">
        <f t="shared" si="11"/>
        <v>2.7498000000000002E-2</v>
      </c>
      <c r="Q76" s="67">
        <v>110.7563451017772</v>
      </c>
      <c r="R76" s="50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</row>
    <row r="77" spans="1:30" s="64" customFormat="1" ht="12.95" customHeight="1" x14ac:dyDescent="0.2">
      <c r="A77" s="49">
        <f t="shared" si="15"/>
        <v>19</v>
      </c>
      <c r="B77" s="49">
        <f t="shared" si="12"/>
        <v>0.19905</v>
      </c>
      <c r="C77" s="78">
        <f t="shared" si="6"/>
        <v>-1.1333333333333332E-6</v>
      </c>
      <c r="D77" s="78">
        <f t="shared" si="7"/>
        <v>2.6153846153846157E-7</v>
      </c>
      <c r="E77" s="78">
        <f t="shared" si="16"/>
        <v>-1147058.823529412</v>
      </c>
      <c r="F77" s="78">
        <f t="shared" si="8"/>
        <v>0.13626418589743694</v>
      </c>
      <c r="G77" s="78">
        <f>+DCR*0.001*2*'Efficiency Summary'!B77*'Efficiency Summary'!$B$44/3</f>
        <v>1.5924000000000001E-3</v>
      </c>
      <c r="H77" s="78">
        <f t="shared" si="13"/>
        <v>3.9810000000000003E-4</v>
      </c>
      <c r="I77" s="49">
        <f>2*Ron_u*0.001*'Efficiency Summary'!B77*'Efficiency Summary'!$B$44*Vout/(3*Vin)</f>
        <v>8.6255000000000012E-3</v>
      </c>
      <c r="J77" s="78">
        <f>+B77*(Vout*(Vin-Vout)/('Efficiency Summary'!$B$44*Lout*0.000001))*'Power Loss'!$B$92*0.000000001</f>
        <v>-3.6531529411764712E-3</v>
      </c>
      <c r="K77" s="49">
        <f>+'Power Loss'!$B$89*0.000000001*Vin^2*2*'Efficiency Summary'!B77*Vout*(Vin-Vout)/(Lout*0.000001*'Power Loss'!$B$119*'Efficiency Summary'!$B$44^2)</f>
        <v>-5.8450447058823558E-3</v>
      </c>
      <c r="L77" s="49">
        <f>2*Ron_l*0.001*'Efficiency Summary'!$B$46*'Efficiency Summary'!$B$44*(Vin-Vout)/(3*Vin)</f>
        <v>-2.8000000000000008E-3</v>
      </c>
      <c r="M77" s="49">
        <f>+'Power Loss'!$B$107*0.000000001*Vin^2*2*'Efficiency Summary'!B77*Vout*(Vin-Vout)/(Lout*0.000001*'Power Loss'!$B$119*'Efficiency Summary'!$B$44^2)</f>
        <v>-4.1750319327731097E-3</v>
      </c>
      <c r="N77" s="49">
        <f>+$K$44*$K$45*0.000000001*2*B77*Vout*(Vin-Vout)/('Efficiency Summary'!$B$44^2*Lout*0.000001*Vin)</f>
        <v>-1.1416102941176473E-3</v>
      </c>
      <c r="O77" s="49">
        <f t="shared" si="14"/>
        <v>1.9905000000000003E-5</v>
      </c>
      <c r="P77" s="50">
        <f t="shared" si="11"/>
        <v>2.9885999999999999E-2</v>
      </c>
      <c r="Q77" s="67">
        <v>110.53955422228555</v>
      </c>
      <c r="R77" s="50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</row>
    <row r="78" spans="1:30" s="64" customFormat="1" ht="12.95" customHeight="1" x14ac:dyDescent="0.2">
      <c r="A78" s="49">
        <f t="shared" si="15"/>
        <v>21</v>
      </c>
      <c r="B78" s="49">
        <f t="shared" si="12"/>
        <v>0.21895000000000003</v>
      </c>
      <c r="C78" s="78">
        <f t="shared" si="6"/>
        <v>-1.1333333333333332E-6</v>
      </c>
      <c r="D78" s="78">
        <f t="shared" si="7"/>
        <v>2.6153846153846157E-7</v>
      </c>
      <c r="E78" s="78">
        <f t="shared" si="16"/>
        <v>-1147058.823529412</v>
      </c>
      <c r="F78" s="78">
        <f t="shared" si="8"/>
        <v>0.14616316025641141</v>
      </c>
      <c r="G78" s="78">
        <f>+DCR*0.001*2*'Efficiency Summary'!B78*'Efficiency Summary'!$B$44/3</f>
        <v>1.7516000000000005E-3</v>
      </c>
      <c r="H78" s="78">
        <f t="shared" si="13"/>
        <v>4.3790000000000013E-4</v>
      </c>
      <c r="I78" s="49">
        <f>2*Ron_u*0.001*'Efficiency Summary'!B78*'Efficiency Summary'!$B$44*Vout/(3*Vin)</f>
        <v>9.487833333333336E-3</v>
      </c>
      <c r="J78" s="78">
        <f>+B78*(Vout*(Vin-Vout)/('Efficiency Summary'!$B$44*Lout*0.000001))*'Power Loss'!$B$92*0.000000001</f>
        <v>-4.0183764705882365E-3</v>
      </c>
      <c r="K78" s="49">
        <f>+'Power Loss'!$B$89*0.000000001*Vin^2*2*'Efficiency Summary'!B78*Vout*(Vin-Vout)/(Lout*0.000001*'Power Loss'!$B$119*'Efficiency Summary'!$B$44^2)</f>
        <v>-6.4294023529411796E-3</v>
      </c>
      <c r="L78" s="49">
        <f>2*Ron_l*0.001*'Efficiency Summary'!$B$46*'Efficiency Summary'!$B$44*(Vin-Vout)/(3*Vin)</f>
        <v>-2.8000000000000008E-3</v>
      </c>
      <c r="M78" s="49">
        <f>+'Power Loss'!$B$107*0.000000001*Vin^2*2*'Efficiency Summary'!B78*Vout*(Vin-Vout)/(Lout*0.000001*'Power Loss'!$B$119*'Efficiency Summary'!$B$44^2)</f>
        <v>-4.5924302521008417E-3</v>
      </c>
      <c r="N78" s="49">
        <f>+$K$44*$K$45*0.000000001*2*B78*Vout*(Vin-Vout)/('Efficiency Summary'!$B$44^2*Lout*0.000001*Vin)</f>
        <v>-1.2557426470588239E-3</v>
      </c>
      <c r="O78" s="49">
        <f t="shared" si="14"/>
        <v>2.1895000000000006E-5</v>
      </c>
      <c r="P78" s="50">
        <f t="shared" si="11"/>
        <v>3.2274000000000004E-2</v>
      </c>
      <c r="Q78" s="67">
        <v>110.36280115083717</v>
      </c>
      <c r="R78" s="50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</row>
    <row r="79" spans="1:30" s="64" customFormat="1" ht="12.95" customHeight="1" x14ac:dyDescent="0.2">
      <c r="A79" s="49">
        <f t="shared" si="15"/>
        <v>23</v>
      </c>
      <c r="B79" s="49">
        <f t="shared" si="12"/>
        <v>0.23885000000000001</v>
      </c>
      <c r="C79" s="78">
        <f t="shared" si="6"/>
        <v>-1.1333333333333332E-6</v>
      </c>
      <c r="D79" s="78">
        <f t="shared" si="7"/>
        <v>2.6153846153846157E-7</v>
      </c>
      <c r="E79" s="78">
        <f t="shared" si="16"/>
        <v>-1147058.823529412</v>
      </c>
      <c r="F79" s="78">
        <f t="shared" si="8"/>
        <v>0.15538519444444565</v>
      </c>
      <c r="G79" s="78">
        <f>+DCR*0.001*2*'Efficiency Summary'!B79*'Efficiency Summary'!$B$44/3</f>
        <v>1.9108E-3</v>
      </c>
      <c r="H79" s="78">
        <f t="shared" si="13"/>
        <v>4.7770000000000001E-4</v>
      </c>
      <c r="I79" s="49">
        <f>2*Ron_u*0.001*'Efficiency Summary'!B79*'Efficiency Summary'!$B$44*Vout/(3*Vin)</f>
        <v>1.0350166666666669E-2</v>
      </c>
      <c r="J79" s="78">
        <f>+B79*(Vout*(Vin-Vout)/('Efficiency Summary'!$B$44*Lout*0.000001))*'Power Loss'!$B$92*0.000000001</f>
        <v>-4.3836000000000005E-3</v>
      </c>
      <c r="K79" s="49">
        <f>+'Power Loss'!$B$89*0.000000001*Vin^2*2*'Efficiency Summary'!B79*Vout*(Vin-Vout)/(Lout*0.000001*'Power Loss'!$B$119*'Efficiency Summary'!$B$44^2)</f>
        <v>-7.0137600000000008E-3</v>
      </c>
      <c r="L79" s="49">
        <f>2*Ron_l*0.001*'Efficiency Summary'!$B$46*'Efficiency Summary'!$B$44*(Vin-Vout)/(3*Vin)</f>
        <v>-2.8000000000000008E-3</v>
      </c>
      <c r="M79" s="49">
        <f>+'Power Loss'!$B$107*0.000000001*Vin^2*2*'Efficiency Summary'!B79*Vout*(Vin-Vout)/(Lout*0.000001*'Power Loss'!$B$119*'Efficiency Summary'!$B$44^2)</f>
        <v>-5.0098285714285729E-3</v>
      </c>
      <c r="N79" s="49">
        <f>+$K$44*$K$45*0.000000001*2*B79*Vout*(Vin-Vout)/('Efficiency Summary'!$B$44^2*Lout*0.000001*Vin)</f>
        <v>-1.3698750000000002E-3</v>
      </c>
      <c r="O79" s="49">
        <f t="shared" si="14"/>
        <v>2.3885000000000003E-5</v>
      </c>
      <c r="P79" s="50">
        <f t="shared" si="11"/>
        <v>3.4661999999999998E-2</v>
      </c>
      <c r="Q79" s="67">
        <v>110.21593200327368</v>
      </c>
      <c r="R79" s="50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</row>
    <row r="80" spans="1:30" s="64" customFormat="1" ht="12.95" customHeight="1" x14ac:dyDescent="0.2">
      <c r="A80" s="49">
        <f t="shared" si="15"/>
        <v>25</v>
      </c>
      <c r="B80" s="49">
        <f t="shared" si="12"/>
        <v>0.25875000000000004</v>
      </c>
      <c r="C80" s="78">
        <f t="shared" si="6"/>
        <v>-1.1333333333333332E-6</v>
      </c>
      <c r="D80" s="78">
        <f t="shared" si="7"/>
        <v>2.6153846153846157E-7</v>
      </c>
      <c r="E80" s="78">
        <f t="shared" si="16"/>
        <v>-1147058.823529412</v>
      </c>
      <c r="F80" s="78">
        <f t="shared" si="8"/>
        <v>0.16393028846153973</v>
      </c>
      <c r="G80" s="78">
        <f>+DCR*0.001*2*'Efficiency Summary'!B80*'Efficiency Summary'!$B$44/3</f>
        <v>2.0700000000000002E-3</v>
      </c>
      <c r="H80" s="78">
        <f t="shared" si="13"/>
        <v>5.1750000000000006E-4</v>
      </c>
      <c r="I80" s="49">
        <f>2*Ron_u*0.001*'Efficiency Summary'!B80*'Efficiency Summary'!$B$44*Vout/(3*Vin)</f>
        <v>1.1212500000000002E-2</v>
      </c>
      <c r="J80" s="78">
        <f>+B80*(Vout*(Vin-Vout)/('Efficiency Summary'!$B$44*Lout*0.000001))*'Power Loss'!$B$92*0.000000001</f>
        <v>-4.7488235294117663E-3</v>
      </c>
      <c r="K80" s="49">
        <f>+'Power Loss'!$B$89*0.000000001*Vin^2*2*'Efficiency Summary'!B80*Vout*(Vin-Vout)/(Lout*0.000001*'Power Loss'!$B$119*'Efficiency Summary'!$B$44^2)</f>
        <v>-7.5981176470588264E-3</v>
      </c>
      <c r="L80" s="49">
        <f>2*Ron_l*0.001*'Efficiency Summary'!$B$46*'Efficiency Summary'!$B$44*(Vin-Vout)/(3*Vin)</f>
        <v>-2.8000000000000008E-3</v>
      </c>
      <c r="M80" s="49">
        <f>+'Power Loss'!$B$107*0.000000001*Vin^2*2*'Efficiency Summary'!B80*Vout*(Vin-Vout)/(Lout*0.000001*'Power Loss'!$B$119*'Efficiency Summary'!$B$44^2)</f>
        <v>-5.4272268907563032E-3</v>
      </c>
      <c r="N80" s="49">
        <f>+$K$44*$K$45*0.000000001*2*B80*Vout*(Vin-Vout)/('Efficiency Summary'!$B$44^2*Lout*0.000001*Vin)</f>
        <v>-1.4840073529411768E-3</v>
      </c>
      <c r="O80" s="49">
        <f t="shared" si="14"/>
        <v>2.5875000000000006E-5</v>
      </c>
      <c r="P80" s="50">
        <f t="shared" si="11"/>
        <v>3.7050000000000007E-2</v>
      </c>
      <c r="Q80" s="67">
        <v>110.09195873542703</v>
      </c>
      <c r="R80" s="50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</row>
    <row r="81" spans="1:30" s="64" customFormat="1" ht="12.95" customHeight="1" x14ac:dyDescent="0.2">
      <c r="A81" s="49">
        <f t="shared" si="15"/>
        <v>27</v>
      </c>
      <c r="B81" s="49">
        <f t="shared" si="12"/>
        <v>0.27865000000000001</v>
      </c>
      <c r="C81" s="78">
        <f t="shared" si="6"/>
        <v>-1.1333333333333332E-6</v>
      </c>
      <c r="D81" s="78">
        <f t="shared" si="7"/>
        <v>2.6153846153846157E-7</v>
      </c>
      <c r="E81" s="78">
        <f t="shared" si="16"/>
        <v>-1147058.823529412</v>
      </c>
      <c r="F81" s="78">
        <f t="shared" si="8"/>
        <v>0.17179844230769362</v>
      </c>
      <c r="G81" s="78">
        <f>+DCR*0.001*2*'Efficiency Summary'!B81*'Efficiency Summary'!$B$44/3</f>
        <v>2.2292000000000002E-3</v>
      </c>
      <c r="H81" s="78">
        <f t="shared" si="13"/>
        <v>5.5730000000000005E-4</v>
      </c>
      <c r="I81" s="49">
        <f>2*Ron_u*0.001*'Efficiency Summary'!B81*'Efficiency Summary'!$B$44*Vout/(3*Vin)</f>
        <v>1.2074833333333333E-2</v>
      </c>
      <c r="J81" s="78">
        <f>+B81*(Vout*(Vin-Vout)/('Efficiency Summary'!$B$44*Lout*0.000001))*'Power Loss'!$B$92*0.000000001</f>
        <v>-5.1140470588235303E-3</v>
      </c>
      <c r="K81" s="49">
        <f>+'Power Loss'!$B$89*0.000000001*Vin^2*2*'Efficiency Summary'!B81*Vout*(Vin-Vout)/(Lout*0.000001*'Power Loss'!$B$119*'Efficiency Summary'!$B$44^2)</f>
        <v>-8.1824752941176485E-3</v>
      </c>
      <c r="L81" s="49">
        <f>2*Ron_l*0.001*'Efficiency Summary'!$B$46*'Efficiency Summary'!$B$44*(Vin-Vout)/(3*Vin)</f>
        <v>-2.8000000000000008E-3</v>
      </c>
      <c r="M81" s="49">
        <f>+'Power Loss'!$B$107*0.000000001*Vin^2*2*'Efficiency Summary'!B81*Vout*(Vin-Vout)/(Lout*0.000001*'Power Loss'!$B$119*'Efficiency Summary'!$B$44^2)</f>
        <v>-5.8446252100840344E-3</v>
      </c>
      <c r="N81" s="49">
        <f>+$K$44*$K$45*0.000000001*2*B81*Vout*(Vin-Vout)/('Efficiency Summary'!$B$44^2*Lout*0.000001*Vin)</f>
        <v>-1.5981397058823534E-3</v>
      </c>
      <c r="O81" s="49">
        <f t="shared" si="14"/>
        <v>2.7865000000000002E-5</v>
      </c>
      <c r="P81" s="50">
        <f t="shared" si="11"/>
        <v>3.9438000000000001E-2</v>
      </c>
      <c r="Q81" s="67">
        <v>109.98591453054472</v>
      </c>
      <c r="R81" s="50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</row>
    <row r="82" spans="1:30" s="64" customFormat="1" ht="12.95" customHeight="1" x14ac:dyDescent="0.2">
      <c r="A82" s="49">
        <f t="shared" si="15"/>
        <v>29</v>
      </c>
      <c r="B82" s="49">
        <f t="shared" si="12"/>
        <v>0.29855000000000004</v>
      </c>
      <c r="C82" s="78">
        <f t="shared" si="6"/>
        <v>-1.1333333333333332E-6</v>
      </c>
      <c r="D82" s="78">
        <f t="shared" si="7"/>
        <v>2.6153846153846157E-7</v>
      </c>
      <c r="E82" s="78">
        <f t="shared" si="16"/>
        <v>-1147058.823529412</v>
      </c>
      <c r="F82" s="78">
        <f t="shared" si="8"/>
        <v>0.17898965598290736</v>
      </c>
      <c r="G82" s="78">
        <f>+DCR*0.001*2*'Efficiency Summary'!B82*'Efficiency Summary'!$B$44/3</f>
        <v>2.3884000000000002E-3</v>
      </c>
      <c r="H82" s="78">
        <f t="shared" si="13"/>
        <v>5.9710000000000004E-4</v>
      </c>
      <c r="I82" s="49">
        <f>2*Ron_u*0.001*'Efficiency Summary'!B82*'Efficiency Summary'!$B$44*Vout/(3*Vin)</f>
        <v>1.2937166666666671E-2</v>
      </c>
      <c r="J82" s="78">
        <f>+B82*(Vout*(Vin-Vout)/('Efficiency Summary'!$B$44*Lout*0.000001))*'Power Loss'!$B$92*0.000000001</f>
        <v>-5.479270588235296E-3</v>
      </c>
      <c r="K82" s="49">
        <f>+'Power Loss'!$B$89*0.000000001*Vin^2*2*'Efficiency Summary'!B82*Vout*(Vin-Vout)/(Lout*0.000001*'Power Loss'!$B$119*'Efficiency Summary'!$B$44^2)</f>
        <v>-8.766832941176474E-3</v>
      </c>
      <c r="L82" s="49">
        <f>2*Ron_l*0.001*'Efficiency Summary'!$B$46*'Efficiency Summary'!$B$44*(Vin-Vout)/(3*Vin)</f>
        <v>-2.8000000000000008E-3</v>
      </c>
      <c r="M82" s="49">
        <f>+'Power Loss'!$B$107*0.000000001*Vin^2*2*'Efficiency Summary'!B82*Vout*(Vin-Vout)/(Lout*0.000001*'Power Loss'!$B$119*'Efficiency Summary'!$B$44^2)</f>
        <v>-6.2620235294117655E-3</v>
      </c>
      <c r="N82" s="49">
        <f>+$K$44*$K$45*0.000000001*2*B82*Vout*(Vin-Vout)/('Efficiency Summary'!$B$44^2*Lout*0.000001*Vin)</f>
        <v>-1.71227205882353E-3</v>
      </c>
      <c r="O82" s="49">
        <f t="shared" si="14"/>
        <v>2.9855000000000005E-5</v>
      </c>
      <c r="P82" s="50">
        <f t="shared" si="11"/>
        <v>4.1826000000000009E-2</v>
      </c>
      <c r="Q82" s="67">
        <v>109.89417230174396</v>
      </c>
      <c r="R82" s="50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</row>
    <row r="83" spans="1:30" s="64" customFormat="1" ht="12.95" customHeight="1" x14ac:dyDescent="0.2">
      <c r="A83" s="49">
        <f t="shared" si="15"/>
        <v>31</v>
      </c>
      <c r="B83" s="49">
        <f t="shared" si="12"/>
        <v>0.31845000000000001</v>
      </c>
      <c r="C83" s="78">
        <f t="shared" si="6"/>
        <v>-1.1333333333333332E-6</v>
      </c>
      <c r="D83" s="78">
        <f t="shared" si="7"/>
        <v>2.6153846153846157E-7</v>
      </c>
      <c r="E83" s="78">
        <f t="shared" si="16"/>
        <v>-1147058.823529412</v>
      </c>
      <c r="F83" s="78">
        <f t="shared" si="8"/>
        <v>0.18550392948718092</v>
      </c>
      <c r="G83" s="78">
        <f>+DCR*0.001*2*'Efficiency Summary'!B83*'Efficiency Summary'!$B$44/3</f>
        <v>2.5476000000000001E-3</v>
      </c>
      <c r="H83" s="78">
        <f t="shared" si="13"/>
        <v>6.3690000000000003E-4</v>
      </c>
      <c r="I83" s="49">
        <f>2*Ron_u*0.001*'Efficiency Summary'!B83*'Efficiency Summary'!$B$44*Vout/(3*Vin)</f>
        <v>1.3799500000000004E-2</v>
      </c>
      <c r="J83" s="78">
        <f>+B83*(Vout*(Vin-Vout)/('Efficiency Summary'!$B$44*Lout*0.000001))*'Power Loss'!$B$92*0.000000001</f>
        <v>-5.8444941176470601E-3</v>
      </c>
      <c r="K83" s="49">
        <f>+'Power Loss'!$B$89*0.000000001*Vin^2*2*'Efficiency Summary'!B83*Vout*(Vin-Vout)/(Lout*0.000001*'Power Loss'!$B$119*'Efficiency Summary'!$B$44^2)</f>
        <v>-9.3511905882352978E-3</v>
      </c>
      <c r="L83" s="49">
        <f>2*Ron_l*0.001*'Efficiency Summary'!$B$46*'Efficiency Summary'!$B$44*(Vin-Vout)/(3*Vin)</f>
        <v>-2.8000000000000008E-3</v>
      </c>
      <c r="M83" s="49">
        <f>+'Power Loss'!$B$107*0.000000001*Vin^2*2*'Efficiency Summary'!B83*Vout*(Vin-Vout)/(Lout*0.000001*'Power Loss'!$B$119*'Efficiency Summary'!$B$44^2)</f>
        <v>-6.6794218487394967E-3</v>
      </c>
      <c r="N83" s="49">
        <f>+$K$44*$K$45*0.000000001*2*B83*Vout*(Vin-Vout)/('Efficiency Summary'!$B$44^2*Lout*0.000001*Vin)</f>
        <v>-1.8264044117647061E-3</v>
      </c>
      <c r="O83" s="49">
        <f t="shared" si="14"/>
        <v>3.1845000000000004E-5</v>
      </c>
      <c r="P83" s="50">
        <f t="shared" si="11"/>
        <v>4.4213999999999996E-2</v>
      </c>
      <c r="Q83" s="67">
        <v>109.81402151183825</v>
      </c>
      <c r="R83" s="50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</row>
    <row r="84" spans="1:30" s="64" customFormat="1" ht="12.95" customHeight="1" x14ac:dyDescent="0.2">
      <c r="A84" s="49">
        <f t="shared" si="15"/>
        <v>33</v>
      </c>
      <c r="B84" s="49">
        <f t="shared" si="12"/>
        <v>0.33835000000000004</v>
      </c>
      <c r="C84" s="78">
        <f t="shared" si="6"/>
        <v>-1.1333333333333332E-6</v>
      </c>
      <c r="D84" s="78">
        <f t="shared" si="7"/>
        <v>2.6153846153846157E-7</v>
      </c>
      <c r="E84" s="78">
        <f t="shared" si="16"/>
        <v>-1147058.823529412</v>
      </c>
      <c r="F84" s="78">
        <f t="shared" si="8"/>
        <v>0.19134126282051431</v>
      </c>
      <c r="G84" s="78">
        <f>+DCR*0.001*2*'Efficiency Summary'!B84*'Efficiency Summary'!$B$44/3</f>
        <v>2.7068000000000005E-3</v>
      </c>
      <c r="H84" s="78">
        <f t="shared" si="13"/>
        <v>6.7670000000000013E-4</v>
      </c>
      <c r="I84" s="49">
        <f>2*Ron_u*0.001*'Efficiency Summary'!B84*'Efficiency Summary'!$B$44*Vout/(3*Vin)</f>
        <v>1.4661833333333334E-2</v>
      </c>
      <c r="J84" s="78">
        <f>+B84*(Vout*(Vin-Vout)/('Efficiency Summary'!$B$44*Lout*0.000001))*'Power Loss'!$B$92*0.000000001</f>
        <v>-6.2097176470588241E-3</v>
      </c>
      <c r="K84" s="49">
        <f>+'Power Loss'!$B$89*0.000000001*Vin^2*2*'Efficiency Summary'!B84*Vout*(Vin-Vout)/(Lout*0.000001*'Power Loss'!$B$119*'Efficiency Summary'!$B$44^2)</f>
        <v>-9.9355482352941216E-3</v>
      </c>
      <c r="L84" s="49">
        <f>2*Ron_l*0.001*'Efficiency Summary'!$B$46*'Efficiency Summary'!$B$44*(Vin-Vout)/(3*Vin)</f>
        <v>-2.8000000000000008E-3</v>
      </c>
      <c r="M84" s="49">
        <f>+'Power Loss'!$B$107*0.000000001*Vin^2*2*'Efficiency Summary'!B84*Vout*(Vin-Vout)/(Lout*0.000001*'Power Loss'!$B$119*'Efficiency Summary'!$B$44^2)</f>
        <v>-7.0968201680672279E-3</v>
      </c>
      <c r="N84" s="49">
        <f>+$K$44*$K$45*0.000000001*2*B84*Vout*(Vin-Vout)/('Efficiency Summary'!$B$44^2*Lout*0.000001*Vin)</f>
        <v>-1.9405367647058829E-3</v>
      </c>
      <c r="O84" s="49">
        <f t="shared" si="14"/>
        <v>3.3835000000000004E-5</v>
      </c>
      <c r="P84" s="50">
        <f t="shared" si="11"/>
        <v>4.6602000000000011E-2</v>
      </c>
      <c r="Q84" s="67">
        <v>109.74339586573825</v>
      </c>
      <c r="R84" s="50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</row>
    <row r="85" spans="1:30" s="64" customFormat="1" ht="12.95" customHeight="1" x14ac:dyDescent="0.2">
      <c r="A85" s="49">
        <f t="shared" si="15"/>
        <v>35</v>
      </c>
      <c r="B85" s="49">
        <f t="shared" si="12"/>
        <v>0.35825000000000001</v>
      </c>
      <c r="C85" s="78">
        <f t="shared" si="6"/>
        <v>-1.1333333333333332E-6</v>
      </c>
      <c r="D85" s="78">
        <f t="shared" si="7"/>
        <v>2.6153846153846157E-7</v>
      </c>
      <c r="E85" s="78">
        <f t="shared" si="16"/>
        <v>-1147058.823529412</v>
      </c>
      <c r="F85" s="78">
        <f t="shared" si="8"/>
        <v>0.1965016559829075</v>
      </c>
      <c r="G85" s="78">
        <f>+DCR*0.001*2*'Efficiency Summary'!B85*'Efficiency Summary'!$B$44/3</f>
        <v>2.8660000000000001E-3</v>
      </c>
      <c r="H85" s="78">
        <f t="shared" si="13"/>
        <v>7.1650000000000001E-4</v>
      </c>
      <c r="I85" s="49">
        <f>2*Ron_u*0.001*'Efficiency Summary'!B85*'Efficiency Summary'!$B$44*Vout/(3*Vin)</f>
        <v>1.5524166666666667E-2</v>
      </c>
      <c r="J85" s="78">
        <f>+B85*(Vout*(Vin-Vout)/('Efficiency Summary'!$B$44*Lout*0.000001))*'Power Loss'!$B$92*0.000000001</f>
        <v>-6.574941176470589E-3</v>
      </c>
      <c r="K85" s="49">
        <f>+'Power Loss'!$B$89*0.000000001*Vin^2*2*'Efficiency Summary'!B85*Vout*(Vin-Vout)/(Lout*0.000001*'Power Loss'!$B$119*'Efficiency Summary'!$B$44^2)</f>
        <v>-1.0519905882352945E-2</v>
      </c>
      <c r="L85" s="49">
        <f>2*Ron_l*0.001*'Efficiency Summary'!$B$46*'Efficiency Summary'!$B$44*(Vin-Vout)/(3*Vin)</f>
        <v>-2.8000000000000008E-3</v>
      </c>
      <c r="M85" s="49">
        <f>+'Power Loss'!$B$107*0.000000001*Vin^2*2*'Efficiency Summary'!B85*Vout*(Vin-Vout)/(Lout*0.000001*'Power Loss'!$B$119*'Efficiency Summary'!$B$44^2)</f>
        <v>-7.5142184873949599E-3</v>
      </c>
      <c r="N85" s="49">
        <f>+$K$44*$K$45*0.000000001*2*B85*Vout*(Vin-Vout)/('Efficiency Summary'!$B$44^2*Lout*0.000001*Vin)</f>
        <v>-2.0546691176470595E-3</v>
      </c>
      <c r="O85" s="49">
        <f t="shared" si="14"/>
        <v>3.5824999999999997E-5</v>
      </c>
      <c r="P85" s="50">
        <f t="shared" si="11"/>
        <v>4.8989999999999999E-2</v>
      </c>
      <c r="Q85" s="67">
        <v>109.68069264104693</v>
      </c>
      <c r="R85" s="50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</row>
    <row r="86" spans="1:30" s="64" customFormat="1" ht="12.95" customHeight="1" x14ac:dyDescent="0.2">
      <c r="A86" s="49">
        <f t="shared" si="15"/>
        <v>37</v>
      </c>
      <c r="B86" s="49">
        <f t="shared" si="12"/>
        <v>0.37815000000000004</v>
      </c>
      <c r="C86" s="78">
        <f t="shared" si="6"/>
        <v>-1.1333333333333332E-6</v>
      </c>
      <c r="D86" s="78">
        <f t="shared" si="7"/>
        <v>2.6153846153846157E-7</v>
      </c>
      <c r="E86" s="78">
        <f t="shared" si="16"/>
        <v>-1147058.823529412</v>
      </c>
      <c r="F86" s="78">
        <f t="shared" si="8"/>
        <v>0.20098510897436056</v>
      </c>
      <c r="G86" s="78">
        <f>+DCR*0.001*2*'Efficiency Summary'!B86*'Efficiency Summary'!$B$44/3</f>
        <v>3.0252000000000005E-3</v>
      </c>
      <c r="H86" s="78">
        <f t="shared" si="13"/>
        <v>7.5630000000000011E-4</v>
      </c>
      <c r="I86" s="49">
        <f>2*Ron_u*0.001*'Efficiency Summary'!B86*'Efficiency Summary'!$B$44*Vout/(3*Vin)</f>
        <v>1.6386500000000005E-2</v>
      </c>
      <c r="J86" s="78">
        <f>+B86*(Vout*(Vin-Vout)/('Efficiency Summary'!$B$44*Lout*0.000001))*'Power Loss'!$B$92*0.000000001</f>
        <v>-6.9401647058823538E-3</v>
      </c>
      <c r="K86" s="49">
        <f>+'Power Loss'!$B$89*0.000000001*Vin^2*2*'Efficiency Summary'!B86*Vout*(Vin-Vout)/(Lout*0.000001*'Power Loss'!$B$119*'Efficiency Summary'!$B$44^2)</f>
        <v>-1.1104263529411769E-2</v>
      </c>
      <c r="L86" s="49">
        <f>2*Ron_l*0.001*'Efficiency Summary'!$B$46*'Efficiency Summary'!$B$44*(Vin-Vout)/(3*Vin)</f>
        <v>-2.8000000000000008E-3</v>
      </c>
      <c r="M86" s="49">
        <f>+'Power Loss'!$B$107*0.000000001*Vin^2*2*'Efficiency Summary'!B86*Vout*(Vin-Vout)/(Lout*0.000001*'Power Loss'!$B$119*'Efficiency Summary'!$B$44^2)</f>
        <v>-7.9316168067226911E-3</v>
      </c>
      <c r="N86" s="49">
        <f>+$K$44*$K$45*0.000000001*2*B86*Vout*(Vin-Vout)/('Efficiency Summary'!$B$44^2*Lout*0.000001*Vin)</f>
        <v>-2.1688014705882361E-3</v>
      </c>
      <c r="O86" s="49">
        <f t="shared" si="14"/>
        <v>3.7815000000000003E-5</v>
      </c>
      <c r="P86" s="50">
        <f t="shared" si="11"/>
        <v>5.1378000000000007E-2</v>
      </c>
      <c r="Q86" s="67">
        <v>109.62464958935354</v>
      </c>
      <c r="R86" s="50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</row>
    <row r="87" spans="1:30" s="64" customFormat="1" ht="12.95" customHeight="1" x14ac:dyDescent="0.2">
      <c r="A87" s="49">
        <f t="shared" si="15"/>
        <v>39</v>
      </c>
      <c r="B87" s="49">
        <f t="shared" si="12"/>
        <v>0.39805000000000001</v>
      </c>
      <c r="C87" s="78">
        <f t="shared" si="6"/>
        <v>-1.1333333333333332E-6</v>
      </c>
      <c r="D87" s="78">
        <f t="shared" si="7"/>
        <v>2.6153846153846157E-7</v>
      </c>
      <c r="E87" s="78">
        <f t="shared" si="16"/>
        <v>-1147058.823529412</v>
      </c>
      <c r="F87" s="78">
        <f t="shared" si="8"/>
        <v>0.20479162179487337</v>
      </c>
      <c r="G87" s="78">
        <f>+DCR*0.001*2*'Efficiency Summary'!B87*'Efficiency Summary'!$B$44/3</f>
        <v>3.1844000000000004E-3</v>
      </c>
      <c r="H87" s="78">
        <f t="shared" si="13"/>
        <v>7.9610000000000011E-4</v>
      </c>
      <c r="I87" s="49">
        <f>2*Ron_u*0.001*'Efficiency Summary'!B87*'Efficiency Summary'!$B$44*Vout/(3*Vin)</f>
        <v>1.7248833333333335E-2</v>
      </c>
      <c r="J87" s="78">
        <f>+B87*(Vout*(Vin-Vout)/('Efficiency Summary'!$B$44*Lout*0.000001))*'Power Loss'!$B$92*0.000000001</f>
        <v>-7.3053882352941187E-3</v>
      </c>
      <c r="K87" s="49">
        <f>+'Power Loss'!$B$89*0.000000001*Vin^2*2*'Efficiency Summary'!B87*Vout*(Vin-Vout)/(Lout*0.000001*'Power Loss'!$B$119*'Efficiency Summary'!$B$44^2)</f>
        <v>-1.1688621176470593E-2</v>
      </c>
      <c r="L87" s="49">
        <f>2*Ron_l*0.001*'Efficiency Summary'!$B$46*'Efficiency Summary'!$B$44*(Vin-Vout)/(3*Vin)</f>
        <v>-2.8000000000000008E-3</v>
      </c>
      <c r="M87" s="49">
        <f>+'Power Loss'!$B$107*0.000000001*Vin^2*2*'Efficiency Summary'!B87*Vout*(Vin-Vout)/(Lout*0.000001*'Power Loss'!$B$119*'Efficiency Summary'!$B$44^2)</f>
        <v>-8.3490151260504214E-3</v>
      </c>
      <c r="N87" s="49">
        <f>+$K$44*$K$45*0.000000001*2*B87*Vout*(Vin-Vout)/('Efficiency Summary'!$B$44^2*Lout*0.000001*Vin)</f>
        <v>-2.2829338235294126E-3</v>
      </c>
      <c r="O87" s="49">
        <f t="shared" si="14"/>
        <v>3.9805000000000003E-5</v>
      </c>
      <c r="P87" s="50">
        <f t="shared" si="11"/>
        <v>5.3766000000000001E-2</v>
      </c>
      <c r="Q87" s="67">
        <v>109.57425908503176</v>
      </c>
      <c r="R87" s="50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</row>
    <row r="88" spans="1:30" s="64" customFormat="1" ht="12.95" customHeight="1" x14ac:dyDescent="0.2">
      <c r="A88" s="49">
        <f t="shared" si="15"/>
        <v>41</v>
      </c>
      <c r="B88" s="49">
        <f t="shared" si="12"/>
        <v>0.41795000000000004</v>
      </c>
      <c r="C88" s="78">
        <f t="shared" si="6"/>
        <v>-1.1333333333333332E-6</v>
      </c>
      <c r="D88" s="78">
        <f t="shared" si="7"/>
        <v>2.6153846153846157E-7</v>
      </c>
      <c r="E88" s="78">
        <f t="shared" si="16"/>
        <v>-1147058.823529412</v>
      </c>
      <c r="F88" s="78">
        <f t="shared" si="8"/>
        <v>0.20792119444444604</v>
      </c>
      <c r="G88" s="78">
        <f>+DCR*0.001*2*'Efficiency Summary'!B88*'Efficiency Summary'!$B$44/3</f>
        <v>3.3436000000000004E-3</v>
      </c>
      <c r="H88" s="78">
        <f t="shared" si="13"/>
        <v>8.359000000000001E-4</v>
      </c>
      <c r="I88" s="49">
        <f>2*Ron_u*0.001*'Efficiency Summary'!B88*'Efficiency Summary'!$B$44*Vout/(3*Vin)</f>
        <v>1.8111166666666668E-2</v>
      </c>
      <c r="J88" s="78">
        <f>+B88*(Vout*(Vin-Vout)/('Efficiency Summary'!$B$44*Lout*0.000001))*'Power Loss'!$B$92*0.000000001</f>
        <v>-7.6706117647058836E-3</v>
      </c>
      <c r="K88" s="49">
        <f>+'Power Loss'!$B$89*0.000000001*Vin^2*2*'Efficiency Summary'!B88*Vout*(Vin-Vout)/(Lout*0.000001*'Power Loss'!$B$119*'Efficiency Summary'!$B$44^2)</f>
        <v>-1.2272978823529417E-2</v>
      </c>
      <c r="L88" s="49">
        <f>2*Ron_l*0.001*'Efficiency Summary'!$B$46*'Efficiency Summary'!$B$44*(Vin-Vout)/(3*Vin)</f>
        <v>-2.8000000000000008E-3</v>
      </c>
      <c r="M88" s="49">
        <f>+'Power Loss'!$B$107*0.000000001*Vin^2*2*'Efficiency Summary'!B88*Vout*(Vin-Vout)/(Lout*0.000001*'Power Loss'!$B$119*'Efficiency Summary'!$B$44^2)</f>
        <v>-8.7664134453781534E-3</v>
      </c>
      <c r="N88" s="49">
        <f>+$K$44*$K$45*0.000000001*2*B88*Vout*(Vin-Vout)/('Efficiency Summary'!$B$44^2*Lout*0.000001*Vin)</f>
        <v>-2.3970661764705884E-3</v>
      </c>
      <c r="O88" s="49">
        <f t="shared" si="14"/>
        <v>4.1795000000000002E-5</v>
      </c>
      <c r="P88" s="50">
        <f t="shared" si="11"/>
        <v>5.6154000000000009E-2</v>
      </c>
      <c r="Q88" s="67">
        <v>109.52870700396225</v>
      </c>
      <c r="R88" s="50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</row>
    <row r="89" spans="1:30" s="64" customFormat="1" ht="12.95" customHeight="1" x14ac:dyDescent="0.2">
      <c r="A89" s="49">
        <f t="shared" si="15"/>
        <v>43</v>
      </c>
      <c r="B89" s="49">
        <f t="shared" si="12"/>
        <v>0.43785000000000002</v>
      </c>
      <c r="C89" s="78">
        <f t="shared" si="6"/>
        <v>-1.1333333333333332E-6</v>
      </c>
      <c r="D89" s="78">
        <f t="shared" si="7"/>
        <v>2.6153846153846157E-7</v>
      </c>
      <c r="E89" s="78">
        <f t="shared" si="16"/>
        <v>-1147058.823529412</v>
      </c>
      <c r="F89" s="78">
        <f t="shared" si="8"/>
        <v>0.21037382692307852</v>
      </c>
      <c r="G89" s="78">
        <f>+DCR*0.001*2*'Efficiency Summary'!B89*'Efficiency Summary'!$B$44/3</f>
        <v>3.5028000000000004E-3</v>
      </c>
      <c r="H89" s="78">
        <f t="shared" si="13"/>
        <v>8.7570000000000009E-4</v>
      </c>
      <c r="I89" s="49">
        <f>2*Ron_u*0.001*'Efficiency Summary'!B89*'Efficiency Summary'!$B$44*Vout/(3*Vin)</f>
        <v>1.8973500000000001E-2</v>
      </c>
      <c r="J89" s="78">
        <f>+B89*(Vout*(Vin-Vout)/('Efficiency Summary'!$B$44*Lout*0.000001))*'Power Loss'!$B$92*0.000000001</f>
        <v>-8.0358352941176485E-3</v>
      </c>
      <c r="K89" s="49">
        <f>+'Power Loss'!$B$89*0.000000001*Vin^2*2*'Efficiency Summary'!B89*Vout*(Vin-Vout)/(Lout*0.000001*'Power Loss'!$B$119*'Efficiency Summary'!$B$44^2)</f>
        <v>-1.2857336470588241E-2</v>
      </c>
      <c r="L89" s="49">
        <f>2*Ron_l*0.001*'Efficiency Summary'!$B$46*'Efficiency Summary'!$B$44*(Vin-Vout)/(3*Vin)</f>
        <v>-2.8000000000000008E-3</v>
      </c>
      <c r="M89" s="49">
        <f>+'Power Loss'!$B$107*0.000000001*Vin^2*2*'Efficiency Summary'!B89*Vout*(Vin-Vout)/(Lout*0.000001*'Power Loss'!$B$119*'Efficiency Summary'!$B$44^2)</f>
        <v>-9.1838117647058837E-3</v>
      </c>
      <c r="N89" s="49">
        <f>+$K$44*$K$45*0.000000001*2*B89*Vout*(Vin-Vout)/('Efficiency Summary'!$B$44^2*Lout*0.000001*Vin)</f>
        <v>-2.5111985294117649E-3</v>
      </c>
      <c r="O89" s="49">
        <f t="shared" si="14"/>
        <v>4.3785000000000002E-5</v>
      </c>
      <c r="P89" s="50">
        <f t="shared" si="11"/>
        <v>5.8541999999999997E-2</v>
      </c>
      <c r="Q89" s="67">
        <v>109.48732840203913</v>
      </c>
      <c r="R89" s="50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</row>
    <row r="90" spans="1:30" s="64" customFormat="1" ht="12.95" customHeight="1" x14ac:dyDescent="0.2">
      <c r="A90" s="49">
        <f t="shared" si="15"/>
        <v>45</v>
      </c>
      <c r="B90" s="49">
        <f t="shared" si="12"/>
        <v>0.45775000000000005</v>
      </c>
      <c r="C90" s="78">
        <f t="shared" si="6"/>
        <v>-1.1333333333333332E-6</v>
      </c>
      <c r="D90" s="78">
        <f t="shared" si="7"/>
        <v>2.6153846153846157E-7</v>
      </c>
      <c r="E90" s="78">
        <f t="shared" si="16"/>
        <v>-1147058.823529412</v>
      </c>
      <c r="F90" s="78">
        <f t="shared" si="8"/>
        <v>0.21214951923077083</v>
      </c>
      <c r="G90" s="78">
        <f>+DCR*0.001*2*'Efficiency Summary'!B90*'Efficiency Summary'!$B$44/3</f>
        <v>3.6620000000000003E-3</v>
      </c>
      <c r="H90" s="78">
        <f t="shared" si="13"/>
        <v>9.1550000000000008E-4</v>
      </c>
      <c r="I90" s="49">
        <f>2*Ron_u*0.001*'Efficiency Summary'!B90*'Efficiency Summary'!$B$44*Vout/(3*Vin)</f>
        <v>1.9835833333333337E-2</v>
      </c>
      <c r="J90" s="78">
        <f>+B90*(Vout*(Vin-Vout)/('Efficiency Summary'!$B$44*Lout*0.000001))*'Power Loss'!$B$92*0.000000001</f>
        <v>-8.4010588235294142E-3</v>
      </c>
      <c r="K90" s="49">
        <f>+'Power Loss'!$B$89*0.000000001*Vin^2*2*'Efficiency Summary'!B90*Vout*(Vin-Vout)/(Lout*0.000001*'Power Loss'!$B$119*'Efficiency Summary'!$B$44^2)</f>
        <v>-1.3441694117647065E-2</v>
      </c>
      <c r="L90" s="49">
        <f>2*Ron_l*0.001*'Efficiency Summary'!$B$46*'Efficiency Summary'!$B$44*(Vin-Vout)/(3*Vin)</f>
        <v>-2.8000000000000008E-3</v>
      </c>
      <c r="M90" s="49">
        <f>+'Power Loss'!$B$107*0.000000001*Vin^2*2*'Efficiency Summary'!B90*Vout*(Vin-Vout)/(Lout*0.000001*'Power Loss'!$B$119*'Efficiency Summary'!$B$44^2)</f>
        <v>-9.6012100840336158E-3</v>
      </c>
      <c r="N90" s="49">
        <f>+$K$44*$K$45*0.000000001*2*B90*Vout*(Vin-Vout)/('Efficiency Summary'!$B$44^2*Lout*0.000001*Vin)</f>
        <v>-2.625330882352942E-3</v>
      </c>
      <c r="O90" s="49">
        <f t="shared" si="14"/>
        <v>4.5775000000000001E-5</v>
      </c>
      <c r="P90" s="50">
        <f t="shared" si="11"/>
        <v>6.0930000000000005E-2</v>
      </c>
      <c r="Q90" s="67">
        <v>109.44957484225397</v>
      </c>
      <c r="R90" s="50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</row>
    <row r="91" spans="1:30" s="64" customFormat="1" ht="12.95" customHeight="1" x14ac:dyDescent="0.2">
      <c r="A91" s="49">
        <f t="shared" si="15"/>
        <v>47</v>
      </c>
      <c r="B91" s="49">
        <f t="shared" si="12"/>
        <v>0.47765000000000002</v>
      </c>
      <c r="C91" s="78">
        <f t="shared" si="6"/>
        <v>-1.1333333333333332E-6</v>
      </c>
      <c r="D91" s="78">
        <f t="shared" si="7"/>
        <v>2.6153846153846157E-7</v>
      </c>
      <c r="E91" s="78">
        <f t="shared" si="16"/>
        <v>-1147058.823529412</v>
      </c>
      <c r="F91" s="78">
        <f t="shared" si="8"/>
        <v>0.213248271367523</v>
      </c>
      <c r="G91" s="78">
        <f>+DCR*0.001*2*'Efficiency Summary'!B91*'Efficiency Summary'!$B$44/3</f>
        <v>3.8212000000000003E-3</v>
      </c>
      <c r="H91" s="78">
        <f t="shared" si="13"/>
        <v>9.5530000000000007E-4</v>
      </c>
      <c r="I91" s="49">
        <f>2*Ron_u*0.001*'Efficiency Summary'!B91*'Efficiency Summary'!$B$44*Vout/(3*Vin)</f>
        <v>2.0698166666666667E-2</v>
      </c>
      <c r="J91" s="78">
        <f>+B91*(Vout*(Vin-Vout)/('Efficiency Summary'!$B$44*Lout*0.000001))*'Power Loss'!$B$92*0.000000001</f>
        <v>-8.7662823529411783E-3</v>
      </c>
      <c r="K91" s="49">
        <f>+'Power Loss'!$B$89*0.000000001*Vin^2*2*'Efficiency Summary'!B91*Vout*(Vin-Vout)/(Lout*0.000001*'Power Loss'!$B$119*'Efficiency Summary'!$B$44^2)</f>
        <v>-1.4026051764705888E-2</v>
      </c>
      <c r="L91" s="49">
        <f>2*Ron_l*0.001*'Efficiency Summary'!$B$46*'Efficiency Summary'!$B$44*(Vin-Vout)/(3*Vin)</f>
        <v>-2.8000000000000008E-3</v>
      </c>
      <c r="M91" s="49">
        <f>+'Power Loss'!$B$107*0.000000001*Vin^2*2*'Efficiency Summary'!B91*Vout*(Vin-Vout)/(Lout*0.000001*'Power Loss'!$B$119*'Efficiency Summary'!$B$44^2)</f>
        <v>-1.0018608403361346E-2</v>
      </c>
      <c r="N91" s="49">
        <f>+$K$44*$K$45*0.000000001*2*B91*Vout*(Vin-Vout)/('Efficiency Summary'!$B$44^2*Lout*0.000001*Vin)</f>
        <v>-2.7394632352941185E-3</v>
      </c>
      <c r="O91" s="49">
        <f t="shared" si="14"/>
        <v>4.7765000000000001E-5</v>
      </c>
      <c r="P91" s="50">
        <f t="shared" si="11"/>
        <v>6.3318000000000013E-2</v>
      </c>
      <c r="Q91" s="67">
        <v>109.41498994851867</v>
      </c>
      <c r="R91" s="50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</row>
    <row r="92" spans="1:30" s="64" customFormat="1" ht="12.95" customHeight="1" x14ac:dyDescent="0.2">
      <c r="A92" s="49">
        <f t="shared" si="15"/>
        <v>49</v>
      </c>
      <c r="B92" s="49">
        <f t="shared" si="12"/>
        <v>0.49755000000000005</v>
      </c>
      <c r="C92" s="78">
        <f t="shared" si="6"/>
        <v>-1.1333333333333332E-6</v>
      </c>
      <c r="D92" s="78">
        <f t="shared" si="7"/>
        <v>2.6153846153846157E-7</v>
      </c>
      <c r="E92" s="78">
        <f t="shared" si="16"/>
        <v>-1147058.823529412</v>
      </c>
      <c r="F92" s="78">
        <f t="shared" si="8"/>
        <v>0.21367008333333498</v>
      </c>
      <c r="G92" s="78">
        <f>+DCR*0.001*2*'Efficiency Summary'!B92*'Efficiency Summary'!$B$44/3</f>
        <v>3.9804000000000003E-3</v>
      </c>
      <c r="H92" s="78">
        <f t="shared" si="13"/>
        <v>9.9510000000000006E-4</v>
      </c>
      <c r="I92" s="49">
        <f>2*Ron_u*0.001*'Efficiency Summary'!B92*'Efficiency Summary'!$B$44*Vout/(3*Vin)</f>
        <v>2.1560500000000007E-2</v>
      </c>
      <c r="J92" s="78">
        <f>+B92*(Vout*(Vin-Vout)/('Efficiency Summary'!$B$44*Lout*0.000001))*'Power Loss'!$B$92*0.000000001</f>
        <v>-9.131505882352944E-3</v>
      </c>
      <c r="K92" s="49">
        <f>+'Power Loss'!$B$89*0.000000001*Vin^2*2*'Efficiency Summary'!B92*Vout*(Vin-Vout)/(Lout*0.000001*'Power Loss'!$B$119*'Efficiency Summary'!$B$44^2)</f>
        <v>-1.461040941176471E-2</v>
      </c>
      <c r="L92" s="49">
        <f>2*Ron_l*0.001*'Efficiency Summary'!$B$46*'Efficiency Summary'!$B$44*(Vin-Vout)/(3*Vin)</f>
        <v>-2.8000000000000008E-3</v>
      </c>
      <c r="M92" s="49">
        <f>+'Power Loss'!$B$107*0.000000001*Vin^2*2*'Efficiency Summary'!B92*Vout*(Vin-Vout)/(Lout*0.000001*'Power Loss'!$B$119*'Efficiency Summary'!$B$44^2)</f>
        <v>-1.0436006722689078E-2</v>
      </c>
      <c r="N92" s="49">
        <f>+$K$44*$K$45*0.000000001*2*B92*Vout*(Vin-Vout)/('Efficiency Summary'!$B$44^2*Lout*0.000001*Vin)</f>
        <v>-2.8535955882352951E-3</v>
      </c>
      <c r="O92" s="49">
        <f t="shared" si="14"/>
        <v>4.9755000000000001E-5</v>
      </c>
      <c r="P92" s="50">
        <f t="shared" si="11"/>
        <v>6.5706000000000001E-2</v>
      </c>
      <c r="Q92" s="67">
        <v>109.38319086690464</v>
      </c>
      <c r="R92" s="50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</row>
    <row r="93" spans="1:30" s="64" customFormat="1" ht="12.95" customHeight="1" x14ac:dyDescent="0.2">
      <c r="A93" s="49">
        <f t="shared" si="15"/>
        <v>51</v>
      </c>
      <c r="B93" s="49">
        <f t="shared" si="12"/>
        <v>0.51745000000000008</v>
      </c>
      <c r="C93" s="78">
        <f t="shared" si="6"/>
        <v>-1.1333333333333332E-6</v>
      </c>
      <c r="D93" s="78">
        <f t="shared" si="7"/>
        <v>2.6153846153846157E-7</v>
      </c>
      <c r="E93" s="78">
        <f t="shared" si="16"/>
        <v>-1147058.823529412</v>
      </c>
      <c r="F93" s="78">
        <f t="shared" si="8"/>
        <v>0.21341495512820677</v>
      </c>
      <c r="G93" s="78">
        <f>+DCR*0.001*2*'Efficiency Summary'!B93*'Efficiency Summary'!$B$44/3</f>
        <v>4.1396000000000011E-3</v>
      </c>
      <c r="H93" s="78">
        <f t="shared" si="13"/>
        <v>1.0349000000000003E-3</v>
      </c>
      <c r="I93" s="49">
        <f>2*Ron_u*0.001*'Efficiency Summary'!B93*'Efficiency Summary'!$B$44*Vout/(3*Vin)</f>
        <v>2.242283333333334E-2</v>
      </c>
      <c r="J93" s="78">
        <f>+B93*(Vout*(Vin-Vout)/('Efficiency Summary'!$B$44*Lout*0.000001))*'Power Loss'!$B$92*0.000000001</f>
        <v>-9.496729411764708E-3</v>
      </c>
      <c r="K93" s="49">
        <f>+'Power Loss'!$B$89*0.000000001*Vin^2*2*'Efficiency Summary'!B93*Vout*(Vin-Vout)/(Lout*0.000001*'Power Loss'!$B$119*'Efficiency Summary'!$B$44^2)</f>
        <v>-1.5194767058823538E-2</v>
      </c>
      <c r="L93" s="49">
        <f>2*Ron_l*0.001*'Efficiency Summary'!$B$46*'Efficiency Summary'!$B$44*(Vin-Vout)/(3*Vin)</f>
        <v>-2.8000000000000008E-3</v>
      </c>
      <c r="M93" s="49">
        <f>+'Power Loss'!$B$107*0.000000001*Vin^2*2*'Efficiency Summary'!B93*Vout*(Vin-Vout)/(Lout*0.000001*'Power Loss'!$B$119*'Efficiency Summary'!$B$44^2)</f>
        <v>-1.085340504201681E-2</v>
      </c>
      <c r="N93" s="49">
        <f>+$K$44*$K$45*0.000000001*2*B93*Vout*(Vin-Vout)/('Efficiency Summary'!$B$44^2*Lout*0.000001*Vin)</f>
        <v>-2.9677279411764717E-3</v>
      </c>
      <c r="O93" s="49">
        <f t="shared" si="14"/>
        <v>5.1745000000000007E-5</v>
      </c>
      <c r="P93" s="50">
        <f t="shared" si="11"/>
        <v>6.8094000000000016E-2</v>
      </c>
      <c r="Q93" s="67">
        <v>109.35385403332991</v>
      </c>
      <c r="R93" s="50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</row>
    <row r="94" spans="1:30" s="64" customFormat="1" ht="12.95" customHeight="1" x14ac:dyDescent="0.2">
      <c r="A94" s="49">
        <f t="shared" si="15"/>
        <v>53</v>
      </c>
      <c r="B94" s="49">
        <f t="shared" si="12"/>
        <v>0.53734999999999999</v>
      </c>
      <c r="C94" s="78">
        <f t="shared" si="6"/>
        <v>-1.1333333333333332E-6</v>
      </c>
      <c r="D94" s="78">
        <f t="shared" si="7"/>
        <v>2.6153846153846157E-7</v>
      </c>
      <c r="E94" s="78">
        <f t="shared" si="16"/>
        <v>-1147058.823529412</v>
      </c>
      <c r="F94" s="78">
        <f t="shared" si="8"/>
        <v>0.21248288675213836</v>
      </c>
      <c r="G94" s="78">
        <f>+DCR*0.001*2*'Efficiency Summary'!B94*'Efficiency Summary'!$B$44/3</f>
        <v>4.2988000000000002E-3</v>
      </c>
      <c r="H94" s="78">
        <f t="shared" si="13"/>
        <v>1.0747E-3</v>
      </c>
      <c r="I94" s="49">
        <f>2*Ron_u*0.001*'Efficiency Summary'!B94*'Efficiency Summary'!$B$44*Vout/(3*Vin)</f>
        <v>2.3285166666666673E-2</v>
      </c>
      <c r="J94" s="78">
        <f>+B94*(Vout*(Vin-Vout)/('Efficiency Summary'!$B$44*Lout*0.000001))*'Power Loss'!$B$92*0.000000001</f>
        <v>-9.8619529411764703E-3</v>
      </c>
      <c r="K94" s="49">
        <f>+'Power Loss'!$B$89*0.000000001*Vin^2*2*'Efficiency Summary'!B94*Vout*(Vin-Vout)/(Lout*0.000001*'Power Loss'!$B$119*'Efficiency Summary'!$B$44^2)</f>
        <v>-1.5779124705882358E-2</v>
      </c>
      <c r="L94" s="49">
        <f>2*Ron_l*0.001*'Efficiency Summary'!$B$46*'Efficiency Summary'!$B$44*(Vin-Vout)/(3*Vin)</f>
        <v>-2.8000000000000008E-3</v>
      </c>
      <c r="M94" s="49">
        <f>+'Power Loss'!$B$107*0.000000001*Vin^2*2*'Efficiency Summary'!B94*Vout*(Vin-Vout)/(Lout*0.000001*'Power Loss'!$B$119*'Efficiency Summary'!$B$44^2)</f>
        <v>-1.1270803361344539E-2</v>
      </c>
      <c r="N94" s="49">
        <f>+$K$44*$K$45*0.000000001*2*B94*Vout*(Vin-Vout)/('Efficiency Summary'!$B$44^2*Lout*0.000001*Vin)</f>
        <v>-3.0818602941176474E-3</v>
      </c>
      <c r="O94" s="49">
        <f t="shared" si="14"/>
        <v>5.3735E-5</v>
      </c>
      <c r="P94" s="50">
        <f t="shared" si="11"/>
        <v>7.0482000000000003E-2</v>
      </c>
      <c r="Q94" s="67">
        <v>109.3267041241041</v>
      </c>
      <c r="R94" s="50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</row>
    <row r="95" spans="1:30" s="64" customFormat="1" ht="12.95" customHeight="1" x14ac:dyDescent="0.2">
      <c r="A95" s="49">
        <f t="shared" si="15"/>
        <v>55</v>
      </c>
      <c r="B95" s="49">
        <f t="shared" si="12"/>
        <v>0.55725000000000002</v>
      </c>
      <c r="C95" s="78">
        <f t="shared" si="6"/>
        <v>-1.1333333333333332E-6</v>
      </c>
      <c r="D95" s="78">
        <f t="shared" si="7"/>
        <v>2.6153846153846157E-7</v>
      </c>
      <c r="E95" s="78">
        <f t="shared" si="16"/>
        <v>-1147058.823529412</v>
      </c>
      <c r="F95" s="78">
        <f t="shared" si="8"/>
        <v>0.21087387820512982</v>
      </c>
      <c r="G95" s="78">
        <f>+DCR*0.001*2*'Efficiency Summary'!B95*'Efficiency Summary'!$B$44/3</f>
        <v>4.4580000000000002E-3</v>
      </c>
      <c r="H95" s="78">
        <f t="shared" si="13"/>
        <v>1.1145E-3</v>
      </c>
      <c r="I95" s="49">
        <f>2*Ron_u*0.001*'Efficiency Summary'!B95*'Efficiency Summary'!$B$44*Vout/(3*Vin)</f>
        <v>2.4147500000000002E-2</v>
      </c>
      <c r="J95" s="78">
        <f>+B95*(Vout*(Vin-Vout)/('Efficiency Summary'!$B$44*Lout*0.000001))*'Power Loss'!$B$92*0.000000001</f>
        <v>-1.0227176470588236E-2</v>
      </c>
      <c r="K95" s="49">
        <f>+'Power Loss'!$B$89*0.000000001*Vin^2*2*'Efficiency Summary'!B95*Vout*(Vin-Vout)/(Lout*0.000001*'Power Loss'!$B$119*'Efficiency Summary'!$B$44^2)</f>
        <v>-1.6363482352941182E-2</v>
      </c>
      <c r="L95" s="49">
        <f>2*Ron_l*0.001*'Efficiency Summary'!$B$46*'Efficiency Summary'!$B$44*(Vin-Vout)/(3*Vin)</f>
        <v>-2.8000000000000008E-3</v>
      </c>
      <c r="M95" s="49">
        <f>+'Power Loss'!$B$107*0.000000001*Vin^2*2*'Efficiency Summary'!B95*Vout*(Vin-Vout)/(Lout*0.000001*'Power Loss'!$B$119*'Efficiency Summary'!$B$44^2)</f>
        <v>-1.1688201680672271E-2</v>
      </c>
      <c r="N95" s="49">
        <f>+$K$44*$K$45*0.000000001*2*B95*Vout*(Vin-Vout)/('Efficiency Summary'!$B$44^2*Lout*0.000001*Vin)</f>
        <v>-3.1959926470588244E-3</v>
      </c>
      <c r="O95" s="49">
        <f t="shared" si="14"/>
        <v>5.5724999999999999E-5</v>
      </c>
      <c r="P95" s="50">
        <f t="shared" si="11"/>
        <v>7.2870000000000004E-2</v>
      </c>
      <c r="Q95" s="67">
        <v>109.30150538873623</v>
      </c>
      <c r="R95" s="50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</row>
    <row r="96" spans="1:30" s="64" customFormat="1" ht="12.95" customHeight="1" x14ac:dyDescent="0.2">
      <c r="A96" s="49">
        <f t="shared" si="15"/>
        <v>57</v>
      </c>
      <c r="B96" s="49">
        <f t="shared" si="12"/>
        <v>0.57715000000000005</v>
      </c>
      <c r="C96" s="78">
        <f t="shared" si="6"/>
        <v>-1.1333333333333332E-6</v>
      </c>
      <c r="D96" s="78">
        <f t="shared" si="7"/>
        <v>2.6153846153846157E-7</v>
      </c>
      <c r="E96" s="78">
        <f t="shared" si="16"/>
        <v>-1147058.823529412</v>
      </c>
      <c r="F96" s="78">
        <f t="shared" si="8"/>
        <v>0.20858792948718108</v>
      </c>
      <c r="G96" s="78">
        <f>+DCR*0.001*2*'Efficiency Summary'!B96*'Efficiency Summary'!$B$44/3</f>
        <v>4.617200000000001E-3</v>
      </c>
      <c r="H96" s="78">
        <f t="shared" si="13"/>
        <v>1.1543000000000002E-3</v>
      </c>
      <c r="I96" s="49">
        <f>2*Ron_u*0.001*'Efficiency Summary'!B96*'Efficiency Summary'!$B$44*Vout/(3*Vin)</f>
        <v>2.5009833333333339E-2</v>
      </c>
      <c r="J96" s="78">
        <f>+B96*(Vout*(Vin-Vout)/('Efficiency Summary'!$B$44*Lout*0.000001))*'Power Loss'!$B$92*0.000000001</f>
        <v>-1.0592400000000002E-2</v>
      </c>
      <c r="K96" s="49">
        <f>+'Power Loss'!$B$89*0.000000001*Vin^2*2*'Efficiency Summary'!B96*Vout*(Vin-Vout)/(Lout*0.000001*'Power Loss'!$B$119*'Efficiency Summary'!$B$44^2)</f>
        <v>-1.6947840000000006E-2</v>
      </c>
      <c r="L96" s="49">
        <f>2*Ron_l*0.001*'Efficiency Summary'!$B$46*'Efficiency Summary'!$B$44*(Vin-Vout)/(3*Vin)</f>
        <v>-2.8000000000000008E-3</v>
      </c>
      <c r="M96" s="49">
        <f>+'Power Loss'!$B$107*0.000000001*Vin^2*2*'Efficiency Summary'!B96*Vout*(Vin-Vout)/(Lout*0.000001*'Power Loss'!$B$119*'Efficiency Summary'!$B$44^2)</f>
        <v>-1.2105600000000003E-2</v>
      </c>
      <c r="N96" s="49">
        <f>+$K$44*$K$45*0.000000001*2*B96*Vout*(Vin-Vout)/('Efficiency Summary'!$B$44^2*Lout*0.000001*Vin)</f>
        <v>-3.310125000000001E-3</v>
      </c>
      <c r="O96" s="49">
        <f t="shared" si="14"/>
        <v>5.7715000000000006E-5</v>
      </c>
      <c r="P96" s="50">
        <f t="shared" si="11"/>
        <v>7.5258000000000005E-2</v>
      </c>
      <c r="Q96" s="67">
        <v>109.27805478657223</v>
      </c>
      <c r="R96" s="50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</row>
    <row r="97" spans="1:30" s="64" customFormat="1" ht="12.95" customHeight="1" x14ac:dyDescent="0.2">
      <c r="A97" s="49">
        <f t="shared" si="15"/>
        <v>59</v>
      </c>
      <c r="B97" s="49">
        <f t="shared" si="12"/>
        <v>0.59705000000000008</v>
      </c>
      <c r="C97" s="78">
        <f t="shared" si="6"/>
        <v>-1.1333333333333332E-6</v>
      </c>
      <c r="D97" s="78">
        <f t="shared" si="7"/>
        <v>2.6153846153846157E-7</v>
      </c>
      <c r="E97" s="78">
        <f t="shared" si="16"/>
        <v>-1147058.823529412</v>
      </c>
      <c r="F97" s="78">
        <f t="shared" si="8"/>
        <v>0.20562504059829215</v>
      </c>
      <c r="G97" s="78">
        <f>+DCR*0.001*2*'Efficiency Summary'!B97*'Efficiency Summary'!$B$44/3</f>
        <v>4.776400000000001E-3</v>
      </c>
      <c r="H97" s="78">
        <f t="shared" si="13"/>
        <v>1.1941000000000002E-3</v>
      </c>
      <c r="I97" s="49">
        <f>2*Ron_u*0.001*'Efficiency Summary'!B97*'Efficiency Summary'!$B$44*Vout/(3*Vin)</f>
        <v>2.5872166666666672E-2</v>
      </c>
      <c r="J97" s="78">
        <f>+B97*(Vout*(Vin-Vout)/('Efficiency Summary'!$B$44*Lout*0.000001))*'Power Loss'!$B$92*0.000000001</f>
        <v>-1.0957623529411768E-2</v>
      </c>
      <c r="K97" s="49">
        <f>+'Power Loss'!$B$89*0.000000001*Vin^2*2*'Efficiency Summary'!B97*Vout*(Vin-Vout)/(Lout*0.000001*'Power Loss'!$B$119*'Efficiency Summary'!$B$44^2)</f>
        <v>-1.7532197647058829E-2</v>
      </c>
      <c r="L97" s="49">
        <f>2*Ron_l*0.001*'Efficiency Summary'!$B$46*'Efficiency Summary'!$B$44*(Vin-Vout)/(3*Vin)</f>
        <v>-2.8000000000000008E-3</v>
      </c>
      <c r="M97" s="49">
        <f>+'Power Loss'!$B$107*0.000000001*Vin^2*2*'Efficiency Summary'!B97*Vout*(Vin-Vout)/(Lout*0.000001*'Power Loss'!$B$119*'Efficiency Summary'!$B$44^2)</f>
        <v>-1.2522998319327735E-2</v>
      </c>
      <c r="N97" s="49">
        <f>+$K$44*$K$45*0.000000001*2*B97*Vout*(Vin-Vout)/('Efficiency Summary'!$B$44^2*Lout*0.000001*Vin)</f>
        <v>-3.4242573529411776E-3</v>
      </c>
      <c r="O97" s="49">
        <f t="shared" si="14"/>
        <v>5.9705000000000005E-5</v>
      </c>
      <c r="P97" s="50">
        <f t="shared" si="11"/>
        <v>7.7646000000000021E-2</v>
      </c>
      <c r="Q97" s="67">
        <v>109.25617650395952</v>
      </c>
      <c r="R97" s="50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</row>
    <row r="98" spans="1:30" s="64" customFormat="1" ht="12.95" customHeight="1" x14ac:dyDescent="0.2">
      <c r="A98" s="49">
        <f t="shared" si="15"/>
        <v>61</v>
      </c>
      <c r="B98" s="49">
        <f t="shared" si="12"/>
        <v>0.61695</v>
      </c>
      <c r="C98" s="78">
        <f t="shared" si="6"/>
        <v>-1.1333333333333332E-6</v>
      </c>
      <c r="D98" s="78">
        <f t="shared" si="7"/>
        <v>2.6153846153846157E-7</v>
      </c>
      <c r="E98" s="78">
        <f t="shared" si="16"/>
        <v>-1147058.823529412</v>
      </c>
      <c r="F98" s="78">
        <f t="shared" si="8"/>
        <v>0.20198521153846311</v>
      </c>
      <c r="G98" s="78">
        <f>+DCR*0.001*2*'Efficiency Summary'!B98*'Efficiency Summary'!$B$44/3</f>
        <v>4.9356000000000001E-3</v>
      </c>
      <c r="H98" s="78">
        <f t="shared" si="13"/>
        <v>1.2339E-3</v>
      </c>
      <c r="I98" s="49">
        <f>2*Ron_u*0.001*'Efficiency Summary'!B98*'Efficiency Summary'!$B$44*Vout/(3*Vin)</f>
        <v>2.6734499999999998E-2</v>
      </c>
      <c r="J98" s="78">
        <f>+B98*(Vout*(Vin-Vout)/('Efficiency Summary'!$B$44*Lout*0.000001))*'Power Loss'!$B$92*0.000000001</f>
        <v>-1.132284705882353E-2</v>
      </c>
      <c r="K98" s="49">
        <f>+'Power Loss'!$B$89*0.000000001*Vin^2*2*'Efficiency Summary'!B98*Vout*(Vin-Vout)/(Lout*0.000001*'Power Loss'!$B$119*'Efficiency Summary'!$B$44^2)</f>
        <v>-1.8116555294117653E-2</v>
      </c>
      <c r="L98" s="49">
        <f>2*Ron_l*0.001*'Efficiency Summary'!$B$46*'Efficiency Summary'!$B$44*(Vin-Vout)/(3*Vin)</f>
        <v>-2.8000000000000008E-3</v>
      </c>
      <c r="M98" s="49">
        <f>+'Power Loss'!$B$107*0.000000001*Vin^2*2*'Efficiency Summary'!B98*Vout*(Vin-Vout)/(Lout*0.000001*'Power Loss'!$B$119*'Efficiency Summary'!$B$44^2)</f>
        <v>-1.2940396638655463E-2</v>
      </c>
      <c r="N98" s="49">
        <f>+$K$44*$K$45*0.000000001*2*B98*Vout*(Vin-Vout)/('Efficiency Summary'!$B$44^2*Lout*0.000001*Vin)</f>
        <v>-3.5383897058823533E-3</v>
      </c>
      <c r="O98" s="49">
        <f t="shared" si="14"/>
        <v>6.1694999999999998E-5</v>
      </c>
      <c r="P98" s="50">
        <f t="shared" si="11"/>
        <v>8.0034000000000008E-2</v>
      </c>
      <c r="Q98" s="67">
        <v>109.23571753848108</v>
      </c>
      <c r="R98" s="50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</row>
    <row r="99" spans="1:30" s="64" customFormat="1" ht="12.95" customHeight="1" x14ac:dyDescent="0.2">
      <c r="A99" s="49">
        <f t="shared" si="15"/>
        <v>63</v>
      </c>
      <c r="B99" s="49">
        <f t="shared" si="12"/>
        <v>0.63685000000000003</v>
      </c>
      <c r="C99" s="78">
        <f t="shared" si="6"/>
        <v>-1.1333333333333332E-6</v>
      </c>
      <c r="D99" s="78">
        <f t="shared" si="7"/>
        <v>2.6153846153846157E-7</v>
      </c>
      <c r="E99" s="78">
        <f t="shared" si="16"/>
        <v>-1147058.823529412</v>
      </c>
      <c r="F99" s="78">
        <f t="shared" si="8"/>
        <v>0.19766844230769381</v>
      </c>
      <c r="G99" s="78">
        <f>+DCR*0.001*2*'Efficiency Summary'!B99*'Efficiency Summary'!$B$44/3</f>
        <v>5.0948000000000009E-3</v>
      </c>
      <c r="H99" s="78">
        <f t="shared" si="13"/>
        <v>1.2737000000000002E-3</v>
      </c>
      <c r="I99" s="49">
        <f>2*Ron_u*0.001*'Efficiency Summary'!B99*'Efficiency Summary'!$B$44*Vout/(3*Vin)</f>
        <v>2.7596833333333338E-2</v>
      </c>
      <c r="J99" s="78">
        <f>+B99*(Vout*(Vin-Vout)/('Efficiency Summary'!$B$44*Lout*0.000001))*'Power Loss'!$B$92*0.000000001</f>
        <v>-1.1688070588235296E-2</v>
      </c>
      <c r="K99" s="49">
        <f>+'Power Loss'!$B$89*0.000000001*Vin^2*2*'Efficiency Summary'!B99*Vout*(Vin-Vout)/(Lout*0.000001*'Power Loss'!$B$119*'Efficiency Summary'!$B$44^2)</f>
        <v>-1.8700912941176477E-2</v>
      </c>
      <c r="L99" s="49">
        <f>2*Ron_l*0.001*'Efficiency Summary'!$B$46*'Efficiency Summary'!$B$44*(Vin-Vout)/(3*Vin)</f>
        <v>-2.8000000000000008E-3</v>
      </c>
      <c r="M99" s="49">
        <f>+'Power Loss'!$B$107*0.000000001*Vin^2*2*'Efficiency Summary'!B99*Vout*(Vin-Vout)/(Lout*0.000001*'Power Loss'!$B$119*'Efficiency Summary'!$B$44^2)</f>
        <v>-1.3357794957983194E-2</v>
      </c>
      <c r="N99" s="49">
        <f>+$K$44*$K$45*0.000000001*2*B99*Vout*(Vin-Vout)/('Efficiency Summary'!$B$44^2*Lout*0.000001*Vin)</f>
        <v>-3.6525220588235294E-3</v>
      </c>
      <c r="O99" s="49">
        <f t="shared" si="14"/>
        <v>6.3685000000000011E-5</v>
      </c>
      <c r="P99" s="50">
        <f t="shared" si="11"/>
        <v>8.2422000000000009E-2</v>
      </c>
      <c r="Q99" s="67">
        <v>109.21654411558583</v>
      </c>
      <c r="R99" s="50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</row>
    <row r="100" spans="1:30" s="64" customFormat="1" ht="12.95" customHeight="1" x14ac:dyDescent="0.2">
      <c r="A100" s="49">
        <f t="shared" si="15"/>
        <v>65</v>
      </c>
      <c r="B100" s="49">
        <f t="shared" si="12"/>
        <v>0.65675000000000006</v>
      </c>
      <c r="C100" s="78">
        <f t="shared" si="6"/>
        <v>-1.1333333333333332E-6</v>
      </c>
      <c r="D100" s="78">
        <f t="shared" si="7"/>
        <v>2.6153846153846157E-7</v>
      </c>
      <c r="E100" s="78">
        <f t="shared" si="16"/>
        <v>-1147058.823529412</v>
      </c>
      <c r="F100" s="78">
        <f t="shared" si="8"/>
        <v>0.19267473290598439</v>
      </c>
      <c r="G100" s="78">
        <f>+DCR*0.001*2*'Efficiency Summary'!B100*'Efficiency Summary'!$B$44/3</f>
        <v>5.2540000000000009E-3</v>
      </c>
      <c r="H100" s="78">
        <f t="shared" si="13"/>
        <v>1.3135000000000002E-3</v>
      </c>
      <c r="I100" s="49">
        <f>2*Ron_u*0.001*'Efficiency Summary'!B100*'Efficiency Summary'!$B$44*Vout/(3*Vin)</f>
        <v>2.8459166666666674E-2</v>
      </c>
      <c r="J100" s="78">
        <f>+B100*(Vout*(Vin-Vout)/('Efficiency Summary'!$B$44*Lout*0.000001))*'Power Loss'!$B$92*0.000000001</f>
        <v>-1.2053294117647061E-2</v>
      </c>
      <c r="K100" s="49">
        <f>+'Power Loss'!$B$89*0.000000001*Vin^2*2*'Efficiency Summary'!B100*Vout*(Vin-Vout)/(Lout*0.000001*'Power Loss'!$B$119*'Efficiency Summary'!$B$44^2)</f>
        <v>-1.9285270588235304E-2</v>
      </c>
      <c r="L100" s="49">
        <f>2*Ron_l*0.001*'Efficiency Summary'!$B$46*'Efficiency Summary'!$B$44*(Vin-Vout)/(3*Vin)</f>
        <v>-2.8000000000000008E-3</v>
      </c>
      <c r="M100" s="49">
        <f>+'Power Loss'!$B$107*0.000000001*Vin^2*2*'Efficiency Summary'!B100*Vout*(Vin-Vout)/(Lout*0.000001*'Power Loss'!$B$119*'Efficiency Summary'!$B$44^2)</f>
        <v>-1.3775193277310928E-2</v>
      </c>
      <c r="N100" s="49">
        <f>+$K$44*$K$45*0.000000001*2*B100*Vout*(Vin-Vout)/('Efficiency Summary'!$B$44^2*Lout*0.000001*Vin)</f>
        <v>-3.7666544117647069E-3</v>
      </c>
      <c r="O100" s="49">
        <f t="shared" si="14"/>
        <v>6.5675000000000011E-5</v>
      </c>
      <c r="P100" s="50">
        <f t="shared" si="11"/>
        <v>8.481000000000001E-2</v>
      </c>
      <c r="Q100" s="67">
        <v>109.19853876012814</v>
      </c>
      <c r="R100" s="50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</row>
    <row r="101" spans="1:30" s="64" customFormat="1" ht="12.95" customHeight="1" x14ac:dyDescent="0.2">
      <c r="A101" s="49">
        <f t="shared" si="15"/>
        <v>67</v>
      </c>
      <c r="B101" s="49">
        <f t="shared" si="12"/>
        <v>0.67665000000000008</v>
      </c>
      <c r="C101" s="78">
        <f t="shared" si="6"/>
        <v>-1.1333333333333332E-6</v>
      </c>
      <c r="D101" s="78">
        <f t="shared" si="7"/>
        <v>2.6153846153846157E-7</v>
      </c>
      <c r="E101" s="78">
        <f t="shared" si="16"/>
        <v>-1147058.823529412</v>
      </c>
      <c r="F101" s="78">
        <f t="shared" si="8"/>
        <v>0.18700408333333474</v>
      </c>
      <c r="G101" s="78">
        <f>+DCR*0.001*2*'Efficiency Summary'!B101*'Efficiency Summary'!$B$44/3</f>
        <v>5.4132000000000008E-3</v>
      </c>
      <c r="H101" s="78">
        <f t="shared" si="13"/>
        <v>1.3533000000000002E-3</v>
      </c>
      <c r="I101" s="49">
        <f>2*Ron_u*0.001*'Efficiency Summary'!B101*'Efficiency Summary'!$B$44*Vout/(3*Vin)</f>
        <v>2.9321500000000011E-2</v>
      </c>
      <c r="J101" s="78">
        <f>+B101*(Vout*(Vin-Vout)/('Efficiency Summary'!$B$44*Lout*0.000001))*'Power Loss'!$B$92*0.000000001</f>
        <v>-1.2418517647058827E-2</v>
      </c>
      <c r="K101" s="49">
        <f>+'Power Loss'!$B$89*0.000000001*Vin^2*2*'Efficiency Summary'!B101*Vout*(Vin-Vout)/(Lout*0.000001*'Power Loss'!$B$119*'Efficiency Summary'!$B$44^2)</f>
        <v>-1.9869628235294125E-2</v>
      </c>
      <c r="L101" s="49">
        <f>2*Ron_l*0.001*'Efficiency Summary'!$B$46*'Efficiency Summary'!$B$44*(Vin-Vout)/(3*Vin)</f>
        <v>-2.8000000000000008E-3</v>
      </c>
      <c r="M101" s="49">
        <f>+'Power Loss'!$B$107*0.000000001*Vin^2*2*'Efficiency Summary'!B101*Vout*(Vin-Vout)/(Lout*0.000001*'Power Loss'!$B$119*'Efficiency Summary'!$B$44^2)</f>
        <v>-1.419259159663866E-2</v>
      </c>
      <c r="N101" s="49">
        <f>+$K$44*$K$45*0.000000001*2*B101*Vout*(Vin-Vout)/('Efficiency Summary'!$B$44^2*Lout*0.000001*Vin)</f>
        <v>-3.8807867647058839E-3</v>
      </c>
      <c r="O101" s="49">
        <f t="shared" si="14"/>
        <v>6.766500000000001E-5</v>
      </c>
      <c r="P101" s="50">
        <f t="shared" si="11"/>
        <v>8.7198000000000012E-2</v>
      </c>
      <c r="Q101" s="67">
        <v>109.18159788730213</v>
      </c>
      <c r="R101" s="50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</row>
    <row r="102" spans="1:30" s="64" customFormat="1" ht="12.95" customHeight="1" x14ac:dyDescent="0.2">
      <c r="A102" s="49">
        <f t="shared" si="15"/>
        <v>69</v>
      </c>
      <c r="B102" s="49">
        <f t="shared" si="12"/>
        <v>0.69655</v>
      </c>
      <c r="C102" s="78">
        <f t="shared" si="6"/>
        <v>-1.1333333333333332E-6</v>
      </c>
      <c r="D102" s="78">
        <f t="shared" si="7"/>
        <v>2.6153846153846157E-7</v>
      </c>
      <c r="E102" s="78">
        <f t="shared" si="16"/>
        <v>-1147058.823529412</v>
      </c>
      <c r="F102" s="78">
        <f t="shared" si="8"/>
        <v>0.18065649358974498</v>
      </c>
      <c r="G102" s="78">
        <f>+DCR*0.001*2*'Efficiency Summary'!B102*'Efficiency Summary'!$B$44/3</f>
        <v>5.5724000000000008E-3</v>
      </c>
      <c r="H102" s="78">
        <f t="shared" si="13"/>
        <v>1.3931000000000002E-3</v>
      </c>
      <c r="I102" s="49">
        <f>2*Ron_u*0.001*'Efficiency Summary'!B102*'Efficiency Summary'!$B$44*Vout/(3*Vin)</f>
        <v>3.018383333333334E-2</v>
      </c>
      <c r="J102" s="78">
        <f>+B102*(Vout*(Vin-Vout)/('Efficiency Summary'!$B$44*Lout*0.000001))*'Power Loss'!$B$92*0.000000001</f>
        <v>-1.2783741176470589E-2</v>
      </c>
      <c r="K102" s="49">
        <f>+'Power Loss'!$B$89*0.000000001*Vin^2*2*'Efficiency Summary'!B102*Vout*(Vin-Vout)/(Lout*0.000001*'Power Loss'!$B$119*'Efficiency Summary'!$B$44^2)</f>
        <v>-2.0453985882352949E-2</v>
      </c>
      <c r="L102" s="49">
        <f>2*Ron_l*0.001*'Efficiency Summary'!$B$46*'Efficiency Summary'!$B$44*(Vin-Vout)/(3*Vin)</f>
        <v>-2.8000000000000008E-3</v>
      </c>
      <c r="M102" s="49">
        <f>+'Power Loss'!$B$107*0.000000001*Vin^2*2*'Efficiency Summary'!B102*Vout*(Vin-Vout)/(Lout*0.000001*'Power Loss'!$B$119*'Efficiency Summary'!$B$44^2)</f>
        <v>-1.4609989915966386E-2</v>
      </c>
      <c r="N102" s="49">
        <f>+$K$44*$K$45*0.000000001*2*B102*Vout*(Vin-Vout)/('Efficiency Summary'!$B$44^2*Lout*0.000001*Vin)</f>
        <v>-3.9949191176470592E-3</v>
      </c>
      <c r="O102" s="49">
        <f t="shared" si="14"/>
        <v>6.965500000000001E-5</v>
      </c>
      <c r="P102" s="50">
        <f t="shared" si="11"/>
        <v>8.9586000000000013E-2</v>
      </c>
      <c r="Q102" s="67">
        <v>109.16562980858257</v>
      </c>
      <c r="R102" s="50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</row>
    <row r="103" spans="1:30" s="64" customFormat="1" ht="12.95" customHeight="1" x14ac:dyDescent="0.2">
      <c r="A103" s="49">
        <f t="shared" si="15"/>
        <v>71</v>
      </c>
      <c r="B103" s="49">
        <f t="shared" si="12"/>
        <v>0.71645000000000003</v>
      </c>
      <c r="C103" s="78">
        <f t="shared" si="6"/>
        <v>-1.1333333333333332E-6</v>
      </c>
      <c r="D103" s="78">
        <f t="shared" si="7"/>
        <v>2.6153846153846157E-7</v>
      </c>
      <c r="E103" s="78">
        <f t="shared" si="16"/>
        <v>-1147058.823529412</v>
      </c>
      <c r="F103" s="78">
        <f t="shared" si="8"/>
        <v>0.173631963675215</v>
      </c>
      <c r="G103" s="78">
        <f>+DCR*0.001*2*'Efficiency Summary'!B103*'Efficiency Summary'!$B$44/3</f>
        <v>5.7315999999999999E-3</v>
      </c>
      <c r="H103" s="78">
        <f t="shared" si="13"/>
        <v>1.4329E-3</v>
      </c>
      <c r="I103" s="49">
        <f>2*Ron_u*0.001*'Efficiency Summary'!B103*'Efficiency Summary'!$B$44*Vout/(3*Vin)</f>
        <v>3.1046166666666666E-2</v>
      </c>
      <c r="J103" s="78">
        <f>+B103*(Vout*(Vin-Vout)/('Efficiency Summary'!$B$44*Lout*0.000001))*'Power Loss'!$B$92*0.000000001</f>
        <v>-1.3148964705882355E-2</v>
      </c>
      <c r="K103" s="49">
        <f>+'Power Loss'!$B$89*0.000000001*Vin^2*2*'Efficiency Summary'!B103*Vout*(Vin-Vout)/(Lout*0.000001*'Power Loss'!$B$119*'Efficiency Summary'!$B$44^2)</f>
        <v>-2.1038343529411772E-2</v>
      </c>
      <c r="L103" s="49">
        <f>2*Ron_l*0.001*'Efficiency Summary'!$B$46*'Efficiency Summary'!$B$44*(Vin-Vout)/(3*Vin)</f>
        <v>-2.8000000000000008E-3</v>
      </c>
      <c r="M103" s="49">
        <f>+'Power Loss'!$B$107*0.000000001*Vin^2*2*'Efficiency Summary'!B103*Vout*(Vin-Vout)/(Lout*0.000001*'Power Loss'!$B$119*'Efficiency Summary'!$B$44^2)</f>
        <v>-1.502738823529412E-2</v>
      </c>
      <c r="N103" s="49">
        <f>+$K$44*$K$45*0.000000001*2*B103*Vout*(Vin-Vout)/('Efficiency Summary'!$B$44^2*Lout*0.000001*Vin)</f>
        <v>-4.1090514705882358E-3</v>
      </c>
      <c r="O103" s="49">
        <f t="shared" si="14"/>
        <v>7.1644999999999996E-5</v>
      </c>
      <c r="P103" s="50">
        <f t="shared" si="11"/>
        <v>9.1974E-2</v>
      </c>
      <c r="Q103" s="67">
        <v>109.15055307159226</v>
      </c>
      <c r="R103" s="50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</row>
    <row r="104" spans="1:30" s="64" customFormat="1" ht="12.95" customHeight="1" x14ac:dyDescent="0.2">
      <c r="A104" s="49">
        <f t="shared" si="15"/>
        <v>73</v>
      </c>
      <c r="B104" s="49">
        <f t="shared" si="12"/>
        <v>0.73635000000000006</v>
      </c>
      <c r="C104" s="78">
        <f t="shared" si="6"/>
        <v>-1.1333333333333332E-6</v>
      </c>
      <c r="D104" s="78">
        <f t="shared" si="7"/>
        <v>2.6153846153846157E-7</v>
      </c>
      <c r="E104" s="78">
        <f t="shared" si="16"/>
        <v>-1147058.823529412</v>
      </c>
      <c r="F104" s="78">
        <f t="shared" si="8"/>
        <v>0.16593049358974482</v>
      </c>
      <c r="G104" s="78">
        <f>+DCR*0.001*2*'Efficiency Summary'!B104*'Efficiency Summary'!$B$44/3</f>
        <v>5.8908000000000007E-3</v>
      </c>
      <c r="H104" s="78">
        <f t="shared" si="13"/>
        <v>1.4727000000000002E-3</v>
      </c>
      <c r="I104" s="49">
        <f>2*Ron_u*0.001*'Efficiency Summary'!B104*'Efficiency Summary'!$B$44*Vout/(3*Vin)</f>
        <v>3.1908499999999999E-2</v>
      </c>
      <c r="J104" s="78">
        <f>+B104*(Vout*(Vin-Vout)/('Efficiency Summary'!$B$44*Lout*0.000001))*'Power Loss'!$B$92*0.000000001</f>
        <v>-1.3514188235294119E-2</v>
      </c>
      <c r="K104" s="49">
        <f>+'Power Loss'!$B$89*0.000000001*Vin^2*2*'Efficiency Summary'!B104*Vout*(Vin-Vout)/(Lout*0.000001*'Power Loss'!$B$119*'Efficiency Summary'!$B$44^2)</f>
        <v>-2.1622701176470593E-2</v>
      </c>
      <c r="L104" s="49">
        <f>2*Ron_l*0.001*'Efficiency Summary'!$B$46*'Efficiency Summary'!$B$44*(Vin-Vout)/(3*Vin)</f>
        <v>-2.8000000000000008E-3</v>
      </c>
      <c r="M104" s="49">
        <f>+'Power Loss'!$B$107*0.000000001*Vin^2*2*'Efficiency Summary'!B104*Vout*(Vin-Vout)/(Lout*0.000001*'Power Loss'!$B$119*'Efficiency Summary'!$B$44^2)</f>
        <v>-1.544478655462185E-2</v>
      </c>
      <c r="N104" s="49">
        <f>+$K$44*$K$45*0.000000001*2*B104*Vout*(Vin-Vout)/('Efficiency Summary'!$B$44^2*Lout*0.000001*Vin)</f>
        <v>-4.2231838235294123E-3</v>
      </c>
      <c r="O104" s="49">
        <f t="shared" si="14"/>
        <v>7.3635000000000009E-5</v>
      </c>
      <c r="P104" s="50">
        <f t="shared" si="11"/>
        <v>9.4362000000000001E-2</v>
      </c>
      <c r="Q104" s="67">
        <v>109.13629507042768</v>
      </c>
      <c r="R104" s="50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</row>
    <row r="105" spans="1:30" s="64" customFormat="1" ht="12.95" customHeight="1" x14ac:dyDescent="0.2">
      <c r="A105" s="49">
        <f t="shared" si="15"/>
        <v>75</v>
      </c>
      <c r="B105" s="49">
        <f t="shared" si="12"/>
        <v>0.75625000000000009</v>
      </c>
      <c r="C105" s="78">
        <f t="shared" si="6"/>
        <v>-1.1333333333333332E-6</v>
      </c>
      <c r="D105" s="78">
        <f t="shared" si="7"/>
        <v>2.6153846153846157E-7</v>
      </c>
      <c r="E105" s="78">
        <f t="shared" si="16"/>
        <v>-1147058.823529412</v>
      </c>
      <c r="F105" s="78">
        <f t="shared" si="8"/>
        <v>0.15755208333333451</v>
      </c>
      <c r="G105" s="78">
        <f>+DCR*0.001*2*'Efficiency Summary'!B105*'Efficiency Summary'!$B$44/3</f>
        <v>6.0500000000000007E-3</v>
      </c>
      <c r="H105" s="78">
        <f t="shared" si="13"/>
        <v>1.5125000000000002E-3</v>
      </c>
      <c r="I105" s="49">
        <f>2*Ron_u*0.001*'Efficiency Summary'!B105*'Efficiency Summary'!$B$44*Vout/(3*Vin)</f>
        <v>3.2770833333333339E-2</v>
      </c>
      <c r="J105" s="78">
        <f>+B105*(Vout*(Vin-Vout)/('Efficiency Summary'!$B$44*Lout*0.000001))*'Power Loss'!$B$92*0.000000001</f>
        <v>-1.3879411764705887E-2</v>
      </c>
      <c r="K105" s="49">
        <f>+'Power Loss'!$B$89*0.000000001*Vin^2*2*'Efficiency Summary'!B105*Vout*(Vin-Vout)/(Lout*0.000001*'Power Loss'!$B$119*'Efficiency Summary'!$B$44^2)</f>
        <v>-2.220705882352942E-2</v>
      </c>
      <c r="L105" s="49">
        <f>2*Ron_l*0.001*'Efficiency Summary'!$B$46*'Efficiency Summary'!$B$44*(Vin-Vout)/(3*Vin)</f>
        <v>-2.8000000000000008E-3</v>
      </c>
      <c r="M105" s="49">
        <f>+'Power Loss'!$B$107*0.000000001*Vin^2*2*'Efficiency Summary'!B105*Vout*(Vin-Vout)/(Lout*0.000001*'Power Loss'!$B$119*'Efficiency Summary'!$B$44^2)</f>
        <v>-1.5862184873949581E-2</v>
      </c>
      <c r="N105" s="49">
        <f>+$K$44*$K$45*0.000000001*2*B105*Vout*(Vin-Vout)/('Efficiency Summary'!$B$44^2*Lout*0.000001*Vin)</f>
        <v>-4.3373161764705889E-3</v>
      </c>
      <c r="O105" s="49">
        <f t="shared" si="14"/>
        <v>7.5625000000000009E-5</v>
      </c>
      <c r="P105" s="50">
        <f t="shared" si="11"/>
        <v>9.6750000000000003E-2</v>
      </c>
      <c r="Q105" s="67">
        <v>109.12279087639732</v>
      </c>
      <c r="R105" s="50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</row>
    <row r="106" spans="1:30" s="64" customFormat="1" ht="12.95" customHeight="1" x14ac:dyDescent="0.2">
      <c r="A106" s="49">
        <f t="shared" si="15"/>
        <v>77</v>
      </c>
      <c r="B106" s="49">
        <f t="shared" si="12"/>
        <v>0.77615000000000001</v>
      </c>
      <c r="C106" s="78">
        <f t="shared" si="6"/>
        <v>-1.1333333333333332E-6</v>
      </c>
      <c r="D106" s="78">
        <f t="shared" si="7"/>
        <v>2.6153846153846157E-7</v>
      </c>
      <c r="E106" s="78">
        <f t="shared" si="16"/>
        <v>-1147058.823529412</v>
      </c>
      <c r="F106" s="78">
        <f t="shared" si="8"/>
        <v>0.14849673290598403</v>
      </c>
      <c r="G106" s="78">
        <f>+DCR*0.001*2*'Efficiency Summary'!B106*'Efficiency Summary'!$B$44/3</f>
        <v>6.2092000000000007E-3</v>
      </c>
      <c r="H106" s="78">
        <f t="shared" si="13"/>
        <v>1.5523000000000002E-3</v>
      </c>
      <c r="I106" s="49">
        <f>2*Ron_u*0.001*'Efficiency Summary'!B106*'Efficiency Summary'!$B$44*Vout/(3*Vin)</f>
        <v>3.3633166666666665E-2</v>
      </c>
      <c r="J106" s="78">
        <f>+B106*(Vout*(Vin-Vout)/('Efficiency Summary'!$B$44*Lout*0.000001))*'Power Loss'!$B$92*0.000000001</f>
        <v>-1.4244635294117649E-2</v>
      </c>
      <c r="K106" s="49">
        <f>+'Power Loss'!$B$89*0.000000001*Vin^2*2*'Efficiency Summary'!B106*Vout*(Vin-Vout)/(Lout*0.000001*'Power Loss'!$B$119*'Efficiency Summary'!$B$44^2)</f>
        <v>-2.2791416470588237E-2</v>
      </c>
      <c r="L106" s="49">
        <f>2*Ron_l*0.001*'Efficiency Summary'!$B$46*'Efficiency Summary'!$B$44*(Vin-Vout)/(3*Vin)</f>
        <v>-2.8000000000000008E-3</v>
      </c>
      <c r="M106" s="49">
        <f>+'Power Loss'!$B$107*0.000000001*Vin^2*2*'Efficiency Summary'!B106*Vout*(Vin-Vout)/(Lout*0.000001*'Power Loss'!$B$119*'Efficiency Summary'!$B$44^2)</f>
        <v>-1.6279583193277315E-2</v>
      </c>
      <c r="N106" s="49">
        <f>+$K$44*$K$45*0.000000001*2*B106*Vout*(Vin-Vout)/('Efficiency Summary'!$B$44^2*Lout*0.000001*Vin)</f>
        <v>-4.4514485294117655E-3</v>
      </c>
      <c r="O106" s="49">
        <f t="shared" si="14"/>
        <v>7.7615000000000008E-5</v>
      </c>
      <c r="P106" s="50">
        <f t="shared" si="11"/>
        <v>9.9138000000000004E-2</v>
      </c>
      <c r="Q106" s="67">
        <v>109.10998224943684</v>
      </c>
      <c r="R106" s="50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</row>
    <row r="107" spans="1:30" s="64" customFormat="1" ht="12.95" customHeight="1" x14ac:dyDescent="0.2">
      <c r="A107" s="49">
        <f t="shared" si="15"/>
        <v>79</v>
      </c>
      <c r="B107" s="49">
        <f t="shared" si="12"/>
        <v>0.79605000000000004</v>
      </c>
      <c r="C107" s="78">
        <f t="shared" si="6"/>
        <v>-1.1333333333333332E-6</v>
      </c>
      <c r="D107" s="78">
        <f t="shared" si="7"/>
        <v>2.6153846153846157E-7</v>
      </c>
      <c r="E107" s="78">
        <f t="shared" si="16"/>
        <v>-1147058.823529412</v>
      </c>
      <c r="F107" s="78">
        <f t="shared" si="8"/>
        <v>0.13876444230769333</v>
      </c>
      <c r="G107" s="78">
        <f>+DCR*0.001*2*'Efficiency Summary'!B107*'Efficiency Summary'!$B$44/3</f>
        <v>6.3684000000000006E-3</v>
      </c>
      <c r="H107" s="78">
        <f t="shared" si="13"/>
        <v>1.5921000000000002E-3</v>
      </c>
      <c r="I107" s="49">
        <f>2*Ron_u*0.001*'Efficiency Summary'!B107*'Efficiency Summary'!$B$44*Vout/(3*Vin)</f>
        <v>3.4495500000000005E-2</v>
      </c>
      <c r="J107" s="78">
        <f>+B107*(Vout*(Vin-Vout)/('Efficiency Summary'!$B$44*Lout*0.000001))*'Power Loss'!$B$92*0.000000001</f>
        <v>-1.4609858823529415E-2</v>
      </c>
      <c r="K107" s="49">
        <f>+'Power Loss'!$B$89*0.000000001*Vin^2*2*'Efficiency Summary'!B107*Vout*(Vin-Vout)/(Lout*0.000001*'Power Loss'!$B$119*'Efficiency Summary'!$B$44^2)</f>
        <v>-2.3375774117647068E-2</v>
      </c>
      <c r="L107" s="49">
        <f>2*Ron_l*0.001*'Efficiency Summary'!$B$46*'Efficiency Summary'!$B$44*(Vin-Vout)/(3*Vin)</f>
        <v>-2.8000000000000008E-3</v>
      </c>
      <c r="M107" s="49">
        <f>+'Power Loss'!$B$107*0.000000001*Vin^2*2*'Efficiency Summary'!B107*Vout*(Vin-Vout)/(Lout*0.000001*'Power Loss'!$B$119*'Efficiency Summary'!$B$44^2)</f>
        <v>-1.6696981512605045E-2</v>
      </c>
      <c r="N107" s="49">
        <f>+$K$44*$K$45*0.000000001*2*B107*Vout*(Vin-Vout)/('Efficiency Summary'!$B$44^2*Lout*0.000001*Vin)</f>
        <v>-4.5655808823529421E-3</v>
      </c>
      <c r="O107" s="49">
        <f t="shared" si="14"/>
        <v>7.9605000000000008E-5</v>
      </c>
      <c r="P107" s="50">
        <f t="shared" si="11"/>
        <v>0.10152600000000001</v>
      </c>
      <c r="Q107" s="67">
        <v>109.09781679844761</v>
      </c>
      <c r="R107" s="50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</row>
    <row r="108" spans="1:30" s="64" customFormat="1" ht="12.95" customHeight="1" x14ac:dyDescent="0.2">
      <c r="A108" s="49">
        <f t="shared" si="15"/>
        <v>81</v>
      </c>
      <c r="B108" s="49">
        <f t="shared" si="12"/>
        <v>0.81595000000000006</v>
      </c>
      <c r="C108" s="78">
        <f t="shared" si="6"/>
        <v>-1.1333333333333332E-6</v>
      </c>
      <c r="D108" s="78">
        <f t="shared" si="7"/>
        <v>2.6153846153846157E-7</v>
      </c>
      <c r="E108" s="78">
        <f t="shared" si="16"/>
        <v>-1147058.823529412</v>
      </c>
      <c r="F108" s="78">
        <f t="shared" si="8"/>
        <v>0.12835521153846247</v>
      </c>
      <c r="G108" s="78">
        <f>+DCR*0.001*2*'Efficiency Summary'!B108*'Efficiency Summary'!$B$44/3</f>
        <v>6.5276000000000006E-3</v>
      </c>
      <c r="H108" s="78">
        <f t="shared" si="13"/>
        <v>1.6319000000000001E-3</v>
      </c>
      <c r="I108" s="49">
        <f>2*Ron_u*0.001*'Efficiency Summary'!B108*'Efficiency Summary'!$B$44*Vout/(3*Vin)</f>
        <v>3.5357833333333345E-2</v>
      </c>
      <c r="J108" s="78">
        <f>+B108*(Vout*(Vin-Vout)/('Efficiency Summary'!$B$44*Lout*0.000001))*'Power Loss'!$B$92*0.000000001</f>
        <v>-1.4975082352941179E-2</v>
      </c>
      <c r="K108" s="49">
        <f>+'Power Loss'!$B$89*0.000000001*Vin^2*2*'Efficiency Summary'!B108*Vout*(Vin-Vout)/(Lout*0.000001*'Power Loss'!$B$119*'Efficiency Summary'!$B$44^2)</f>
        <v>-2.3960131764705891E-2</v>
      </c>
      <c r="L108" s="49">
        <f>2*Ron_l*0.001*'Efficiency Summary'!$B$46*'Efficiency Summary'!$B$44*(Vin-Vout)/(3*Vin)</f>
        <v>-2.8000000000000008E-3</v>
      </c>
      <c r="M108" s="49">
        <f>+'Power Loss'!$B$107*0.000000001*Vin^2*2*'Efficiency Summary'!B108*Vout*(Vin-Vout)/(Lout*0.000001*'Power Loss'!$B$119*'Efficiency Summary'!$B$44^2)</f>
        <v>-1.7114379831932775E-2</v>
      </c>
      <c r="N108" s="49">
        <f>+$K$44*$K$45*0.000000001*2*B108*Vout*(Vin-Vout)/('Efficiency Summary'!$B$44^2*Lout*0.000001*Vin)</f>
        <v>-4.6797132352941187E-3</v>
      </c>
      <c r="O108" s="49">
        <f t="shared" si="14"/>
        <v>8.1595000000000007E-5</v>
      </c>
      <c r="P108" s="50">
        <f t="shared" si="11"/>
        <v>0.10391400000000002</v>
      </c>
      <c r="Q108" s="67">
        <v>109.08624726502615</v>
      </c>
      <c r="R108" s="50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</row>
    <row r="109" spans="1:30" s="64" customFormat="1" ht="12.95" customHeight="1" x14ac:dyDescent="0.2">
      <c r="A109" s="18">
        <f t="shared" si="15"/>
        <v>83</v>
      </c>
      <c r="B109" s="18">
        <f t="shared" si="12"/>
        <v>0.83585000000000009</v>
      </c>
      <c r="C109" s="71">
        <f t="shared" si="6"/>
        <v>-1.1333333333333332E-6</v>
      </c>
      <c r="D109" s="71">
        <f t="shared" si="7"/>
        <v>2.6153846153846157E-7</v>
      </c>
      <c r="E109" s="71">
        <f t="shared" si="16"/>
        <v>-1147058.823529412</v>
      </c>
      <c r="F109" s="71">
        <f t="shared" si="8"/>
        <v>0.11726904059829144</v>
      </c>
      <c r="G109" s="78">
        <f>+DCR*0.001*2*'Efficiency Summary'!B109*'Efficiency Summary'!$B$44/3</f>
        <v>6.6868000000000006E-3</v>
      </c>
      <c r="H109" s="78">
        <f t="shared" si="13"/>
        <v>1.6717000000000001E-3</v>
      </c>
      <c r="I109" s="49">
        <f>2*Ron_u*0.001*'Efficiency Summary'!B109*'Efficiency Summary'!$B$44*Vout/(3*Vin)</f>
        <v>3.6220166666666678E-2</v>
      </c>
      <c r="J109" s="78">
        <f>+B109*(Vout*(Vin-Vout)/('Efficiency Summary'!$B$44*Lout*0.000001))*'Power Loss'!$B$92*0.000000001</f>
        <v>-1.5340305882352943E-2</v>
      </c>
      <c r="K109" s="49">
        <f>+'Power Loss'!$B$89*0.000000001*Vin^2*2*'Efficiency Summary'!B109*Vout*(Vin-Vout)/(Lout*0.000001*'Power Loss'!$B$119*'Efficiency Summary'!$B$44^2)</f>
        <v>-2.4544489411764715E-2</v>
      </c>
      <c r="L109" s="49">
        <f>2*Ron_l*0.001*'Efficiency Summary'!$B$46*'Efficiency Summary'!$B$44*(Vin-Vout)/(3*Vin)</f>
        <v>-2.8000000000000008E-3</v>
      </c>
      <c r="M109" s="49">
        <f>+'Power Loss'!$B$107*0.000000001*Vin^2*2*'Efficiency Summary'!B109*Vout*(Vin-Vout)/(Lout*0.000001*'Power Loss'!$B$119*'Efficiency Summary'!$B$44^2)</f>
        <v>-1.7531778151260509E-2</v>
      </c>
      <c r="N109" s="49">
        <f>+$K$44*$K$45*0.000000001*2*B109*Vout*(Vin-Vout)/('Efficiency Summary'!$B$44^2*Lout*0.000001*Vin)</f>
        <v>-4.7938455882352952E-3</v>
      </c>
      <c r="O109" s="49">
        <f t="shared" si="14"/>
        <v>8.3585000000000007E-5</v>
      </c>
      <c r="P109" s="41">
        <f t="shared" si="11"/>
        <v>0.10630200000000002</v>
      </c>
      <c r="Q109" s="65">
        <v>109.07523090993571</v>
      </c>
      <c r="R109" s="41"/>
    </row>
    <row r="110" spans="1:30" s="64" customFormat="1" ht="12.95" customHeight="1" x14ac:dyDescent="0.2">
      <c r="A110" s="18">
        <f t="shared" si="15"/>
        <v>85</v>
      </c>
      <c r="B110" s="18">
        <f t="shared" si="12"/>
        <v>0.85575000000000001</v>
      </c>
      <c r="C110" s="71">
        <f t="shared" si="6"/>
        <v>-1.1333333333333332E-6</v>
      </c>
      <c r="D110" s="71">
        <f t="shared" si="7"/>
        <v>2.6153846153846157E-7</v>
      </c>
      <c r="E110" s="71">
        <f t="shared" si="16"/>
        <v>-1147058.823529412</v>
      </c>
      <c r="F110" s="71">
        <f t="shared" si="8"/>
        <v>0.10550592948718028</v>
      </c>
      <c r="G110" s="78">
        <f>+DCR*0.001*2*'Efficiency Summary'!B110*'Efficiency Summary'!$B$44/3</f>
        <v>6.8460000000000005E-3</v>
      </c>
      <c r="H110" s="78">
        <f t="shared" si="13"/>
        <v>1.7115000000000001E-3</v>
      </c>
      <c r="I110" s="49">
        <f>2*Ron_u*0.001*'Efficiency Summary'!B110*'Efficiency Summary'!$B$44*Vout/(3*Vin)</f>
        <v>3.7082500000000004E-2</v>
      </c>
      <c r="J110" s="78">
        <f>+B110*(Vout*(Vin-Vout)/('Efficiency Summary'!$B$44*Lout*0.000001))*'Power Loss'!$B$92*0.000000001</f>
        <v>-1.5705529411764708E-2</v>
      </c>
      <c r="K110" s="49">
        <f>+'Power Loss'!$B$89*0.000000001*Vin^2*2*'Efficiency Summary'!B110*Vout*(Vin-Vout)/(Lout*0.000001*'Power Loss'!$B$119*'Efficiency Summary'!$B$44^2)</f>
        <v>-2.5128847058823539E-2</v>
      </c>
      <c r="L110" s="49">
        <f>2*Ron_l*0.001*'Efficiency Summary'!$B$46*'Efficiency Summary'!$B$44*(Vin-Vout)/(3*Vin)</f>
        <v>-2.8000000000000008E-3</v>
      </c>
      <c r="M110" s="49">
        <f>+'Power Loss'!$B$107*0.000000001*Vin^2*2*'Efficiency Summary'!B110*Vout*(Vin-Vout)/(Lout*0.000001*'Power Loss'!$B$119*'Efficiency Summary'!$B$44^2)</f>
        <v>-1.7949176470588236E-2</v>
      </c>
      <c r="N110" s="49">
        <f>+$K$44*$K$45*0.000000001*2*B110*Vout*(Vin-Vout)/('Efficiency Summary'!$B$44^2*Lout*0.000001*Vin)</f>
        <v>-4.9079779411764718E-3</v>
      </c>
      <c r="O110" s="49">
        <f t="shared" si="14"/>
        <v>8.5575000000000007E-5</v>
      </c>
      <c r="P110" s="41">
        <f t="shared" si="11"/>
        <v>0.10869000000000001</v>
      </c>
      <c r="Q110" s="65">
        <v>109.0647289855274</v>
      </c>
      <c r="R110" s="41"/>
    </row>
    <row r="111" spans="1:30" s="64" customFormat="1" ht="12.95" customHeight="1" x14ac:dyDescent="0.2">
      <c r="A111" s="18">
        <f t="shared" si="15"/>
        <v>87</v>
      </c>
      <c r="B111" s="18">
        <f>+$B$44/2</f>
        <v>1</v>
      </c>
      <c r="C111" s="71">
        <f t="shared" si="6"/>
        <v>-1.1333333333333332E-6</v>
      </c>
      <c r="D111" s="71">
        <f t="shared" si="7"/>
        <v>2.6153846153846157E-7</v>
      </c>
      <c r="E111" s="71">
        <f t="shared" si="16"/>
        <v>-1147058.823529412</v>
      </c>
      <c r="F111" s="71">
        <f t="shared" si="8"/>
        <v>0</v>
      </c>
      <c r="G111" s="78">
        <f>+DCR*0.001*2*'Efficiency Summary'!B111*'Efficiency Summary'!$B$44/3</f>
        <v>8.0000000000000002E-3</v>
      </c>
      <c r="H111" s="78">
        <f t="shared" si="13"/>
        <v>2E-3</v>
      </c>
      <c r="I111" s="49">
        <f>2*Ron_u*0.001*'Efficiency Summary'!B111*'Efficiency Summary'!$B$44*Vout/(3*Vin)</f>
        <v>4.3333333333333335E-2</v>
      </c>
      <c r="J111" s="78">
        <f>+B111*(Vout*(Vin-Vout)/('Efficiency Summary'!$B$44*Lout*0.000001))*'Power Loss'!$B$92*0.000000001</f>
        <v>-1.8352941176470589E-2</v>
      </c>
      <c r="K111" s="49">
        <f>+'Power Loss'!$B$89*0.000000001*Vin^2*2*'Efficiency Summary'!B111*Vout*(Vin-Vout)/(Lout*0.000001*'Power Loss'!$B$119*'Efficiency Summary'!$B$44^2)</f>
        <v>-2.9364705882352946E-2</v>
      </c>
      <c r="L111" s="49">
        <f>2*Ron_l*0.001*'Efficiency Summary'!$B$46*'Efficiency Summary'!$B$44*(Vin-Vout)/(3*Vin)</f>
        <v>-2.8000000000000008E-3</v>
      </c>
      <c r="M111" s="49">
        <f>+'Power Loss'!$B$107*0.000000001*Vin^2*2*'Efficiency Summary'!B111*Vout*(Vin-Vout)/(Lout*0.000001*'Power Loss'!$B$119*'Efficiency Summary'!$B$44^2)</f>
        <v>-2.0974789915966387E-2</v>
      </c>
      <c r="N111" s="49">
        <f>+$K$44*$K$45*0.000000001*2*B111*Vout*(Vin-Vout)/('Efficiency Summary'!$B$44^2*Lout*0.000001*Vin)</f>
        <v>-5.7352941176470598E-3</v>
      </c>
      <c r="O111" s="49">
        <f t="shared" si="14"/>
        <v>1E-4</v>
      </c>
      <c r="P111" s="41">
        <f t="shared" si="11"/>
        <v>0.126</v>
      </c>
      <c r="Q111" s="65">
        <v>109.0011424901528</v>
      </c>
      <c r="R111" s="41"/>
    </row>
    <row r="112" spans="1:30" s="64" customFormat="1" ht="12.95" customHeight="1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</row>
    <row r="113" spans="1:18" s="64" customFormat="1" ht="12.95" customHeight="1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</row>
    <row r="114" spans="1:18" s="64" customFormat="1" ht="12.95" customHeight="1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</row>
    <row r="115" spans="1:18" ht="12.95" customHeight="1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</row>
    <row r="116" spans="1:18" ht="12.95" customHeight="1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</row>
    <row r="117" spans="1:18" ht="12.95" customHeight="1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</row>
    <row r="118" spans="1:18" ht="12.95" customHeight="1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</row>
  </sheetData>
  <sheetProtection password="C6F9" sheet="1" objects="1" scenarios="1" selectLockedCells="1"/>
  <pageMargins left="0.7" right="0.7" top="0.75" bottom="0.75" header="0.3" footer="0.3"/>
  <pageSetup orientation="portrait" verticalDpi="598" r:id="rId1"/>
  <ignoredErrors>
    <ignoredError sqref="B1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C44948-A1C6-4A4E-ADC8-1EDCABE4B74A}"/>
</file>

<file path=customXml/itemProps2.xml><?xml version="1.0" encoding="utf-8"?>
<ds:datastoreItem xmlns:ds="http://schemas.openxmlformats.org/officeDocument/2006/customXml" ds:itemID="{5FEA22AE-D224-40E7-B2B1-AD20E43171E9}"/>
</file>

<file path=customXml/itemProps3.xml><?xml version="1.0" encoding="utf-8"?>
<ds:datastoreItem xmlns:ds="http://schemas.openxmlformats.org/officeDocument/2006/customXml" ds:itemID="{1A4DCA4D-D504-4394-90ED-7B0D93B81D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21</vt:i4>
      </vt:variant>
    </vt:vector>
  </HeadingPairs>
  <TitlesOfParts>
    <vt:vector size="23" baseType="lpstr">
      <vt:lpstr>Power Loss</vt:lpstr>
      <vt:lpstr>Efficiency Summary</vt:lpstr>
      <vt:lpstr>Cap</vt:lpstr>
      <vt:lpstr>D</vt:lpstr>
      <vt:lpstr>DCR</vt:lpstr>
      <vt:lpstr>Efficiency</vt:lpstr>
      <vt:lpstr>ESR</vt:lpstr>
      <vt:lpstr>Fs</vt:lpstr>
      <vt:lpstr>Iin</vt:lpstr>
      <vt:lpstr>Il_rms</vt:lpstr>
      <vt:lpstr>Imax</vt:lpstr>
      <vt:lpstr>Imin</vt:lpstr>
      <vt:lpstr>Iout</vt:lpstr>
      <vt:lpstr>Irip</vt:lpstr>
      <vt:lpstr>Iu_rms</vt:lpstr>
      <vt:lpstr>LIR</vt:lpstr>
      <vt:lpstr>Lout</vt:lpstr>
      <vt:lpstr>ncap</vt:lpstr>
      <vt:lpstr>Ron_l</vt:lpstr>
      <vt:lpstr>Ron_u</vt:lpstr>
      <vt:lpstr>Tloss</vt:lpstr>
      <vt:lpstr>Vin</vt:lpstr>
      <vt:lpstr>Vout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 Bui/Analog/DAL</dc:creator>
  <cp:lastModifiedBy>Tu Bui</cp:lastModifiedBy>
  <dcterms:created xsi:type="dcterms:W3CDTF">2017-03-10T19:39:44Z</dcterms:created>
  <dcterms:modified xsi:type="dcterms:W3CDTF">2022-12-13T16:50:06Z</dcterms:modified>
</cp:coreProperties>
</file>