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odes-my.sharepoint.com/personal/tu_bui_diodes_com/Documents/Documents/Projects/Power Cal/"/>
    </mc:Choice>
  </mc:AlternateContent>
  <xr:revisionPtr revIDLastSave="5" documentId="11_B383631187DE31F5AE2F6D3B991939B19A2B8D1E" xr6:coauthVersionLast="47" xr6:coauthVersionMax="47" xr10:uidLastSave="{5D78058A-93F7-4D15-A5FF-E851DE48DC66}"/>
  <bookViews>
    <workbookView xWindow="28680" yWindow="-120" windowWidth="29040" windowHeight="15840" xr2:uid="{00000000-000D-0000-FFFF-FFFF00000000}"/>
  </bookViews>
  <sheets>
    <sheet name="Power Loss" sheetId="1" r:id="rId1"/>
    <sheet name="Efficiency Summary" sheetId="2" r:id="rId2"/>
  </sheets>
  <externalReferences>
    <externalReference r:id="rId3"/>
  </externalReferences>
  <definedNames>
    <definedName name="_Cap1">#REF!</definedName>
    <definedName name="_cap2">#REF!</definedName>
    <definedName name="_Cfb1">#REF!</definedName>
    <definedName name="_Cfb2">#REF!</definedName>
    <definedName name="_res1">#REF!</definedName>
    <definedName name="_Rfb1">#REF!</definedName>
    <definedName name="_Rfb2">#REF!</definedName>
    <definedName name="Cap">'Power Loss'!$B$32</definedName>
    <definedName name="D">'Power Loss'!$F$19</definedName>
    <definedName name="DCR">'Power Loss'!$B$28</definedName>
    <definedName name="Dmax">#REF!</definedName>
    <definedName name="EA_BW">#REF!</definedName>
    <definedName name="EA_DC">#REF!</definedName>
    <definedName name="Efficiency">'Power Loss'!$B$137</definedName>
    <definedName name="ESR">'Power Loss'!$B$33</definedName>
    <definedName name="F0">#REF!</definedName>
    <definedName name="Fc">#REF!</definedName>
    <definedName name="Fm">#REF!</definedName>
    <definedName name="Fs">'Power Loss'!$B$18</definedName>
    <definedName name="Fstart">#REF!</definedName>
    <definedName name="Fstep">#REF!</definedName>
    <definedName name="Fstop">#REF!</definedName>
    <definedName name="Gdo">#REF!</definedName>
    <definedName name="Iin">'Power Loss'!$F$27</definedName>
    <definedName name="Il_rms">'Power Loss'!$F$23</definedName>
    <definedName name="Imax">'Efficiency Summary'!$B$10</definedName>
    <definedName name="Imin">'Efficiency Summary'!$B$9</definedName>
    <definedName name="Iout">'Power Loss'!$B$21</definedName>
    <definedName name="Irip">'Power Loss'!$F$26</definedName>
    <definedName name="Iu_rms">'Power Loss'!$F$22</definedName>
    <definedName name="LIR">'Power Loss'!$B$24</definedName>
    <definedName name="Lout">'Power Loss'!$B$27</definedName>
    <definedName name="ncap">'Power Loss'!$B$31</definedName>
    <definedName name="Q">#REF!</definedName>
    <definedName name="Qn">#REF!</definedName>
    <definedName name="Roerr">#REF!</definedName>
    <definedName name="Ron_l">'Power Loss'!$B$103</definedName>
    <definedName name="Ron_u">'Power Loss'!$B$85</definedName>
    <definedName name="Rout">'[1]Power Loss'!$F$20</definedName>
    <definedName name="RT">#REF!</definedName>
    <definedName name="Se">#REF!</definedName>
    <definedName name="Sn">#REF!</definedName>
    <definedName name="Step">#REF!</definedName>
    <definedName name="Tloss">'Power Loss'!$B$136</definedName>
    <definedName name="VFB">#REF!</definedName>
    <definedName name="Vin">'Power Loss'!$B$19</definedName>
    <definedName name="Vout">'Power Loss'!$B$20</definedName>
    <definedName name="wn">#REF!</definedName>
    <definedName name="wn_boo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2" l="1"/>
  <c r="B55" i="2"/>
  <c r="B52" i="2"/>
  <c r="B10" i="2" l="1"/>
  <c r="D111" i="2"/>
  <c r="C111" i="2"/>
  <c r="B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A69" i="2"/>
  <c r="A70" i="2" s="1"/>
  <c r="B70" i="2" s="1"/>
  <c r="D68" i="2"/>
  <c r="C68" i="2"/>
  <c r="B68" i="2"/>
  <c r="O68" i="2" s="1"/>
  <c r="B61" i="2"/>
  <c r="B60" i="2"/>
  <c r="B53" i="2"/>
  <c r="B49" i="2"/>
  <c r="B48" i="2"/>
  <c r="B45" i="2"/>
  <c r="B51" i="2" s="1"/>
  <c r="A13" i="2"/>
  <c r="I11" i="2"/>
  <c r="B120" i="1"/>
  <c r="B119" i="1"/>
  <c r="B114" i="1"/>
  <c r="B103" i="1"/>
  <c r="B106" i="1" s="1"/>
  <c r="B98" i="1"/>
  <c r="B85" i="1"/>
  <c r="B80" i="1"/>
  <c r="B69" i="1"/>
  <c r="B64" i="1"/>
  <c r="B52" i="1"/>
  <c r="B51" i="1"/>
  <c r="F44" i="1"/>
  <c r="E23" i="1"/>
  <c r="E22" i="1"/>
  <c r="F20" i="1"/>
  <c r="G70" i="2" l="1"/>
  <c r="O70" i="2"/>
  <c r="N70" i="2"/>
  <c r="J70" i="2"/>
  <c r="H70" i="2"/>
  <c r="O111" i="2"/>
  <c r="N111" i="2"/>
  <c r="J111" i="2"/>
  <c r="H111" i="2"/>
  <c r="G111" i="2"/>
  <c r="B69" i="2"/>
  <c r="J68" i="2"/>
  <c r="G68" i="2"/>
  <c r="N68" i="2"/>
  <c r="L110" i="2"/>
  <c r="L108" i="2"/>
  <c r="L100" i="2"/>
  <c r="L90" i="2"/>
  <c r="L84" i="2"/>
  <c r="L78" i="2"/>
  <c r="L70" i="2"/>
  <c r="L109" i="2"/>
  <c r="L105" i="2"/>
  <c r="L101" i="2"/>
  <c r="L97" i="2"/>
  <c r="L93" i="2"/>
  <c r="L87" i="2"/>
  <c r="L83" i="2"/>
  <c r="L79" i="2"/>
  <c r="L75" i="2"/>
  <c r="L71" i="2"/>
  <c r="L68" i="2"/>
  <c r="B57" i="2"/>
  <c r="L106" i="2"/>
  <c r="L104" i="2"/>
  <c r="L102" i="2"/>
  <c r="L98" i="2"/>
  <c r="L96" i="2"/>
  <c r="L94" i="2"/>
  <c r="L92" i="2"/>
  <c r="L88" i="2"/>
  <c r="L86" i="2"/>
  <c r="L82" i="2"/>
  <c r="L80" i="2"/>
  <c r="L76" i="2"/>
  <c r="L74" i="2"/>
  <c r="L72" i="2"/>
  <c r="L111" i="2"/>
  <c r="L107" i="2"/>
  <c r="L103" i="2"/>
  <c r="L99" i="2"/>
  <c r="L95" i="2"/>
  <c r="L91" i="2"/>
  <c r="L89" i="2"/>
  <c r="L85" i="2"/>
  <c r="L81" i="2"/>
  <c r="L77" i="2"/>
  <c r="L73" i="2"/>
  <c r="L69" i="2"/>
  <c r="I111" i="2"/>
  <c r="I68" i="2"/>
  <c r="I70" i="2"/>
  <c r="B54" i="2"/>
  <c r="B72" i="1"/>
  <c r="B123" i="1" s="1"/>
  <c r="B74" i="1"/>
  <c r="B81" i="1" s="1"/>
  <c r="B73" i="1"/>
  <c r="B56" i="1"/>
  <c r="B57" i="1"/>
  <c r="B65" i="1" s="1"/>
  <c r="B55" i="1"/>
  <c r="B122" i="1" s="1"/>
  <c r="E73" i="2"/>
  <c r="E77" i="2"/>
  <c r="E97" i="2"/>
  <c r="E84" i="2"/>
  <c r="B90" i="1"/>
  <c r="B99" i="1" s="1"/>
  <c r="F19" i="1"/>
  <c r="E88" i="2"/>
  <c r="E96" i="2"/>
  <c r="E104" i="2"/>
  <c r="B50" i="2"/>
  <c r="E100" i="2"/>
  <c r="E108" i="2"/>
  <c r="B89" i="1"/>
  <c r="B88" i="1"/>
  <c r="B124" i="1" s="1"/>
  <c r="B125" i="1"/>
  <c r="B108" i="1"/>
  <c r="B115" i="1" s="1"/>
  <c r="B107" i="1"/>
  <c r="E68" i="2"/>
  <c r="E78" i="2"/>
  <c r="E82" i="2"/>
  <c r="E90" i="2"/>
  <c r="E94" i="2"/>
  <c r="E98" i="2"/>
  <c r="E102" i="2"/>
  <c r="E110" i="2"/>
  <c r="E111" i="2"/>
  <c r="E83" i="2"/>
  <c r="E87" i="2"/>
  <c r="E91" i="2"/>
  <c r="E95" i="2"/>
  <c r="E103" i="2"/>
  <c r="E80" i="2"/>
  <c r="E92" i="2"/>
  <c r="E101" i="2"/>
  <c r="E69" i="2"/>
  <c r="E79" i="2"/>
  <c r="E93" i="2"/>
  <c r="E85" i="2"/>
  <c r="E107" i="2"/>
  <c r="E109" i="2"/>
  <c r="E70" i="2"/>
  <c r="E71" i="2"/>
  <c r="E72" i="2"/>
  <c r="E75" i="2"/>
  <c r="E76" i="2"/>
  <c r="E81" i="2"/>
  <c r="E86" i="2"/>
  <c r="E99" i="2"/>
  <c r="E106" i="2"/>
  <c r="A22" i="2"/>
  <c r="A20" i="2"/>
  <c r="A23" i="2"/>
  <c r="A21" i="2"/>
  <c r="A19" i="2"/>
  <c r="A17" i="2"/>
  <c r="A15" i="2"/>
  <c r="P111" i="2"/>
  <c r="F111" i="2"/>
  <c r="I10" i="2"/>
  <c r="A14" i="2"/>
  <c r="A16" i="2"/>
  <c r="A18" i="2"/>
  <c r="P70" i="2"/>
  <c r="F70" i="2"/>
  <c r="A29" i="2"/>
  <c r="B29" i="2" s="1"/>
  <c r="A71" i="2"/>
  <c r="H68" i="2"/>
  <c r="P68" i="2"/>
  <c r="E89" i="2"/>
  <c r="F68" i="2"/>
  <c r="E74" i="2"/>
  <c r="E105" i="2"/>
  <c r="O69" i="2" l="1"/>
  <c r="N69" i="2"/>
  <c r="J69" i="2"/>
  <c r="G69" i="2"/>
  <c r="H69" i="2"/>
  <c r="P69" i="2"/>
  <c r="F69" i="2"/>
  <c r="I69" i="2"/>
  <c r="M111" i="2"/>
  <c r="M69" i="2"/>
  <c r="M70" i="2"/>
  <c r="M68" i="2"/>
  <c r="B58" i="2"/>
  <c r="K111" i="2"/>
  <c r="K68" i="2"/>
  <c r="B56" i="2"/>
  <c r="K69" i="2"/>
  <c r="K70" i="2"/>
  <c r="F26" i="1"/>
  <c r="B129" i="1" s="1"/>
  <c r="L33" i="1" s="1"/>
  <c r="F27" i="1"/>
  <c r="B26" i="1" s="1"/>
  <c r="H23" i="2"/>
  <c r="H21" i="2"/>
  <c r="H19" i="2"/>
  <c r="H17" i="2"/>
  <c r="H15" i="2"/>
  <c r="H13" i="2"/>
  <c r="H22" i="2"/>
  <c r="H20" i="2"/>
  <c r="H18" i="2"/>
  <c r="H16" i="2"/>
  <c r="H14" i="2"/>
  <c r="B126" i="1"/>
  <c r="L32" i="1" s="1"/>
  <c r="A72" i="2"/>
  <c r="B71" i="2"/>
  <c r="K71" i="2" s="1"/>
  <c r="A32" i="2"/>
  <c r="B32" i="2" s="1"/>
  <c r="A37" i="2"/>
  <c r="B37" i="2" s="1"/>
  <c r="A30" i="2"/>
  <c r="B30" i="2" s="1"/>
  <c r="A31" i="2"/>
  <c r="B31" i="2" s="1"/>
  <c r="A39" i="2"/>
  <c r="B39" i="2" s="1"/>
  <c r="A33" i="2"/>
  <c r="B33" i="2" s="1"/>
  <c r="A36" i="2"/>
  <c r="B36" i="2" s="1"/>
  <c r="A34" i="2"/>
  <c r="B34" i="2" s="1"/>
  <c r="A35" i="2"/>
  <c r="B35" i="2" s="1"/>
  <c r="A38" i="2"/>
  <c r="B38" i="2" s="1"/>
  <c r="M71" i="2" l="1"/>
  <c r="G71" i="2"/>
  <c r="O71" i="2"/>
  <c r="J71" i="2"/>
  <c r="H71" i="2"/>
  <c r="N71" i="2"/>
  <c r="I71" i="2"/>
  <c r="B63" i="2"/>
  <c r="B65" i="2" s="1"/>
  <c r="F28" i="1"/>
  <c r="F22" i="1"/>
  <c r="B61" i="1" s="1"/>
  <c r="F23" i="1"/>
  <c r="B134" i="1" s="1"/>
  <c r="K34" i="1" s="1"/>
  <c r="B97" i="1"/>
  <c r="B113" i="1"/>
  <c r="L31" i="1" s="1"/>
  <c r="B96" i="1"/>
  <c r="B63" i="1"/>
  <c r="B79" i="1"/>
  <c r="L29" i="1" s="1"/>
  <c r="B130" i="1"/>
  <c r="K33" i="1" s="1"/>
  <c r="B95" i="1"/>
  <c r="B62" i="1"/>
  <c r="C29" i="2"/>
  <c r="P71" i="2"/>
  <c r="F71" i="2"/>
  <c r="A73" i="2"/>
  <c r="B72" i="2"/>
  <c r="J72" i="2" l="1"/>
  <c r="O72" i="2"/>
  <c r="N72" i="2"/>
  <c r="H72" i="2"/>
  <c r="G72" i="2"/>
  <c r="I72" i="2"/>
  <c r="K72" i="2"/>
  <c r="M72" i="2"/>
  <c r="B94" i="1"/>
  <c r="B100" i="1" s="1"/>
  <c r="K30" i="1" s="1"/>
  <c r="B112" i="1"/>
  <c r="K31" i="1" s="1"/>
  <c r="L28" i="1"/>
  <c r="B78" i="1"/>
  <c r="K29" i="1" s="1"/>
  <c r="B131" i="1"/>
  <c r="L30" i="1"/>
  <c r="B66" i="1"/>
  <c r="K28" i="1" s="1"/>
  <c r="D29" i="2"/>
  <c r="D13" i="2" s="1"/>
  <c r="I13" i="2"/>
  <c r="E29" i="2"/>
  <c r="E13" i="2" s="1"/>
  <c r="P72" i="2"/>
  <c r="F72" i="2"/>
  <c r="C31" i="2"/>
  <c r="C38" i="2"/>
  <c r="A74" i="2"/>
  <c r="B73" i="2"/>
  <c r="C33" i="2"/>
  <c r="C39" i="2"/>
  <c r="C34" i="2"/>
  <c r="C37" i="2"/>
  <c r="C32" i="2"/>
  <c r="C36" i="2"/>
  <c r="C35" i="2"/>
  <c r="C30" i="2"/>
  <c r="B116" i="1" l="1"/>
  <c r="J73" i="2"/>
  <c r="O73" i="2"/>
  <c r="H73" i="2"/>
  <c r="G73" i="2"/>
  <c r="N73" i="2"/>
  <c r="I73" i="2"/>
  <c r="K73" i="2"/>
  <c r="M73" i="2"/>
  <c r="B82" i="1"/>
  <c r="F48" i="1"/>
  <c r="F47" i="1" s="1"/>
  <c r="F13" i="2"/>
  <c r="D34" i="2"/>
  <c r="F18" i="2" s="1"/>
  <c r="I18" i="2"/>
  <c r="I23" i="2"/>
  <c r="I16" i="2"/>
  <c r="E33" i="2"/>
  <c r="E17" i="2" s="1"/>
  <c r="I17" i="2"/>
  <c r="I15" i="2"/>
  <c r="E35" i="2"/>
  <c r="E19" i="2" s="1"/>
  <c r="I19" i="2"/>
  <c r="D36" i="2"/>
  <c r="F20" i="2" s="1"/>
  <c r="I20" i="2"/>
  <c r="I22" i="2"/>
  <c r="I14" i="2"/>
  <c r="D37" i="2"/>
  <c r="F21" i="2" s="1"/>
  <c r="I21" i="2"/>
  <c r="G13" i="2"/>
  <c r="J13" i="2"/>
  <c r="D32" i="2"/>
  <c r="F16" i="2" s="1"/>
  <c r="D33" i="2"/>
  <c r="F17" i="2" s="1"/>
  <c r="E36" i="2"/>
  <c r="E20" i="2" s="1"/>
  <c r="E32" i="2"/>
  <c r="E16" i="2" s="1"/>
  <c r="D35" i="2"/>
  <c r="F19" i="2" s="1"/>
  <c r="D31" i="2"/>
  <c r="F15" i="2" s="1"/>
  <c r="E37" i="2"/>
  <c r="E21" i="2" s="1"/>
  <c r="E31" i="2"/>
  <c r="E15" i="2" s="1"/>
  <c r="F73" i="2"/>
  <c r="P73" i="2"/>
  <c r="A75" i="2"/>
  <c r="B74" i="2"/>
  <c r="E30" i="2"/>
  <c r="E14" i="2" s="1"/>
  <c r="D39" i="2"/>
  <c r="F23" i="2" s="1"/>
  <c r="E38" i="2"/>
  <c r="E22" i="2" s="1"/>
  <c r="D30" i="2"/>
  <c r="F14" i="2" s="1"/>
  <c r="E34" i="2"/>
  <c r="E18" i="2" s="1"/>
  <c r="E39" i="2"/>
  <c r="E23" i="2" s="1"/>
  <c r="D38" i="2"/>
  <c r="F22" i="2" s="1"/>
  <c r="B136" i="1" l="1"/>
  <c r="B47" i="1" s="1"/>
  <c r="N74" i="2"/>
  <c r="J74" i="2"/>
  <c r="G74" i="2"/>
  <c r="O74" i="2"/>
  <c r="H74" i="2"/>
  <c r="I74" i="2"/>
  <c r="M74" i="2"/>
  <c r="K74" i="2"/>
  <c r="D21" i="2"/>
  <c r="D14" i="2"/>
  <c r="D20" i="2"/>
  <c r="D17" i="2"/>
  <c r="D23" i="2"/>
  <c r="D22" i="2"/>
  <c r="D15" i="2"/>
  <c r="D19" i="2"/>
  <c r="D16" i="2"/>
  <c r="D18" i="2"/>
  <c r="G23" i="2"/>
  <c r="J23" i="2"/>
  <c r="G21" i="2"/>
  <c r="J21" i="2"/>
  <c r="J20" i="2"/>
  <c r="G20" i="2"/>
  <c r="G17" i="2"/>
  <c r="J17" i="2"/>
  <c r="G18" i="2"/>
  <c r="J18" i="2"/>
  <c r="J14" i="2"/>
  <c r="G14" i="2"/>
  <c r="J22" i="2"/>
  <c r="G22" i="2"/>
  <c r="G15" i="2"/>
  <c r="J15" i="2"/>
  <c r="J16" i="2"/>
  <c r="G16" i="2"/>
  <c r="G19" i="2"/>
  <c r="J19" i="2"/>
  <c r="B13" i="2"/>
  <c r="C13" i="2" s="1"/>
  <c r="F74" i="2"/>
  <c r="P74" i="2"/>
  <c r="A76" i="2"/>
  <c r="B75" i="2"/>
  <c r="B137" i="1" l="1"/>
  <c r="B48" i="1" s="1"/>
  <c r="O75" i="2"/>
  <c r="N75" i="2"/>
  <c r="J75" i="2"/>
  <c r="H75" i="2"/>
  <c r="G75" i="2"/>
  <c r="I75" i="2"/>
  <c r="M75" i="2"/>
  <c r="K75" i="2"/>
  <c r="B17" i="2"/>
  <c r="C17" i="2" s="1"/>
  <c r="B19" i="2"/>
  <c r="C19" i="2" s="1"/>
  <c r="B20" i="2"/>
  <c r="C20" i="2" s="1"/>
  <c r="B16" i="2"/>
  <c r="C16" i="2" s="1"/>
  <c r="B15" i="2"/>
  <c r="C15" i="2" s="1"/>
  <c r="B21" i="2"/>
  <c r="C21" i="2" s="1"/>
  <c r="B22" i="2"/>
  <c r="C22" i="2" s="1"/>
  <c r="B14" i="2"/>
  <c r="C14" i="2" s="1"/>
  <c r="B23" i="2"/>
  <c r="C23" i="2" s="1"/>
  <c r="B18" i="2"/>
  <c r="C18" i="2" s="1"/>
  <c r="P75" i="2"/>
  <c r="F75" i="2"/>
  <c r="A77" i="2"/>
  <c r="B76" i="2"/>
  <c r="N76" i="2" l="1"/>
  <c r="H76" i="2"/>
  <c r="J76" i="2"/>
  <c r="O76" i="2"/>
  <c r="G76" i="2"/>
  <c r="I76" i="2"/>
  <c r="M76" i="2"/>
  <c r="K76" i="2"/>
  <c r="A78" i="2"/>
  <c r="B77" i="2"/>
  <c r="F76" i="2"/>
  <c r="P76" i="2"/>
  <c r="H77" i="2" l="1"/>
  <c r="O77" i="2"/>
  <c r="N77" i="2"/>
  <c r="J77" i="2"/>
  <c r="G77" i="2"/>
  <c r="I77" i="2"/>
  <c r="M77" i="2"/>
  <c r="K77" i="2"/>
  <c r="F77" i="2"/>
  <c r="P77" i="2"/>
  <c r="B78" i="2"/>
  <c r="A79" i="2"/>
  <c r="H78" i="2" l="1"/>
  <c r="O78" i="2"/>
  <c r="G78" i="2"/>
  <c r="N78" i="2"/>
  <c r="J78" i="2"/>
  <c r="I78" i="2"/>
  <c r="K78" i="2"/>
  <c r="M78" i="2"/>
  <c r="P78" i="2"/>
  <c r="F78" i="2"/>
  <c r="A80" i="2"/>
  <c r="B79" i="2"/>
  <c r="N79" i="2" l="1"/>
  <c r="H79" i="2"/>
  <c r="O79" i="2"/>
  <c r="J79" i="2"/>
  <c r="G79" i="2"/>
  <c r="I79" i="2"/>
  <c r="M79" i="2"/>
  <c r="K79" i="2"/>
  <c r="B80" i="2"/>
  <c r="A81" i="2"/>
  <c r="P79" i="2"/>
  <c r="F79" i="2"/>
  <c r="N80" i="2" l="1"/>
  <c r="J80" i="2"/>
  <c r="H80" i="2"/>
  <c r="G80" i="2"/>
  <c r="O80" i="2"/>
  <c r="I80" i="2"/>
  <c r="M80" i="2"/>
  <c r="K80" i="2"/>
  <c r="A82" i="2"/>
  <c r="B81" i="2"/>
  <c r="F80" i="2"/>
  <c r="P80" i="2"/>
  <c r="O81" i="2" l="1"/>
  <c r="J81" i="2"/>
  <c r="H81" i="2"/>
  <c r="G81" i="2"/>
  <c r="N81" i="2"/>
  <c r="I81" i="2"/>
  <c r="K81" i="2"/>
  <c r="M81" i="2"/>
  <c r="F81" i="2"/>
  <c r="P81" i="2"/>
  <c r="A83" i="2"/>
  <c r="B82" i="2"/>
  <c r="G82" i="2" l="1"/>
  <c r="O82" i="2"/>
  <c r="N82" i="2"/>
  <c r="J82" i="2"/>
  <c r="H82" i="2"/>
  <c r="I82" i="2"/>
  <c r="K82" i="2"/>
  <c r="M82" i="2"/>
  <c r="A84" i="2"/>
  <c r="B83" i="2"/>
  <c r="F82" i="2"/>
  <c r="P82" i="2"/>
  <c r="G83" i="2" l="1"/>
  <c r="H83" i="2"/>
  <c r="N83" i="2"/>
  <c r="J83" i="2"/>
  <c r="O83" i="2"/>
  <c r="I83" i="2"/>
  <c r="M83" i="2"/>
  <c r="K83" i="2"/>
  <c r="P83" i="2"/>
  <c r="F83" i="2"/>
  <c r="B84" i="2"/>
  <c r="A85" i="2"/>
  <c r="O84" i="2" l="1"/>
  <c r="N84" i="2"/>
  <c r="G84" i="2"/>
  <c r="J84" i="2"/>
  <c r="H84" i="2"/>
  <c r="I84" i="2"/>
  <c r="K84" i="2"/>
  <c r="M84" i="2"/>
  <c r="F84" i="2"/>
  <c r="P84" i="2"/>
  <c r="A86" i="2"/>
  <c r="B85" i="2"/>
  <c r="J85" i="2" l="1"/>
  <c r="O85" i="2"/>
  <c r="N85" i="2"/>
  <c r="H85" i="2"/>
  <c r="G85" i="2"/>
  <c r="I85" i="2"/>
  <c r="M85" i="2"/>
  <c r="K85" i="2"/>
  <c r="B86" i="2"/>
  <c r="A87" i="2"/>
  <c r="F85" i="2"/>
  <c r="P85" i="2"/>
  <c r="J86" i="2" l="1"/>
  <c r="O86" i="2"/>
  <c r="N86" i="2"/>
  <c r="H86" i="2"/>
  <c r="G86" i="2"/>
  <c r="I86" i="2"/>
  <c r="K86" i="2"/>
  <c r="M86" i="2"/>
  <c r="B87" i="2"/>
  <c r="A88" i="2"/>
  <c r="F86" i="2"/>
  <c r="P86" i="2"/>
  <c r="O87" i="2" l="1"/>
  <c r="N87" i="2"/>
  <c r="J87" i="2"/>
  <c r="H87" i="2"/>
  <c r="G87" i="2"/>
  <c r="I87" i="2"/>
  <c r="M87" i="2"/>
  <c r="K87" i="2"/>
  <c r="B88" i="2"/>
  <c r="A89" i="2"/>
  <c r="P87" i="2"/>
  <c r="F87" i="2"/>
  <c r="O88" i="2" l="1"/>
  <c r="H88" i="2"/>
  <c r="N88" i="2"/>
  <c r="J88" i="2"/>
  <c r="G88" i="2"/>
  <c r="I88" i="2"/>
  <c r="K88" i="2"/>
  <c r="M88" i="2"/>
  <c r="A90" i="2"/>
  <c r="B89" i="2"/>
  <c r="F88" i="2"/>
  <c r="P88" i="2"/>
  <c r="G89" i="2" l="1"/>
  <c r="O89" i="2"/>
  <c r="N89" i="2"/>
  <c r="J89" i="2"/>
  <c r="H89" i="2"/>
  <c r="I89" i="2"/>
  <c r="K89" i="2"/>
  <c r="M89" i="2"/>
  <c r="F89" i="2"/>
  <c r="P89" i="2"/>
  <c r="A91" i="2"/>
  <c r="B90" i="2"/>
  <c r="H90" i="2" l="1"/>
  <c r="G90" i="2"/>
  <c r="J90" i="2"/>
  <c r="O90" i="2"/>
  <c r="N90" i="2"/>
  <c r="I90" i="2"/>
  <c r="K90" i="2"/>
  <c r="M90" i="2"/>
  <c r="A92" i="2"/>
  <c r="B91" i="2"/>
  <c r="P90" i="2"/>
  <c r="F90" i="2"/>
  <c r="N91" i="2" l="1"/>
  <c r="O91" i="2"/>
  <c r="J91" i="2"/>
  <c r="H91" i="2"/>
  <c r="G91" i="2"/>
  <c r="I91" i="2"/>
  <c r="M91" i="2"/>
  <c r="K91" i="2"/>
  <c r="P91" i="2"/>
  <c r="F91" i="2"/>
  <c r="B92" i="2"/>
  <c r="A93" i="2"/>
  <c r="N92" i="2" l="1"/>
  <c r="J92" i="2"/>
  <c r="H92" i="2"/>
  <c r="G92" i="2"/>
  <c r="O92" i="2"/>
  <c r="I92" i="2"/>
  <c r="K92" i="2"/>
  <c r="M92" i="2"/>
  <c r="F92" i="2"/>
  <c r="P92" i="2"/>
  <c r="A94" i="2"/>
  <c r="B93" i="2"/>
  <c r="G93" i="2" l="1"/>
  <c r="J93" i="2"/>
  <c r="O93" i="2"/>
  <c r="N93" i="2"/>
  <c r="H93" i="2"/>
  <c r="I93" i="2"/>
  <c r="K93" i="2"/>
  <c r="M93" i="2"/>
  <c r="F93" i="2"/>
  <c r="P93" i="2"/>
  <c r="B94" i="2"/>
  <c r="A95" i="2"/>
  <c r="O94" i="2" l="1"/>
  <c r="N94" i="2"/>
  <c r="J94" i="2"/>
  <c r="H94" i="2"/>
  <c r="G94" i="2"/>
  <c r="I94" i="2"/>
  <c r="K94" i="2"/>
  <c r="M94" i="2"/>
  <c r="P94" i="2"/>
  <c r="F94" i="2"/>
  <c r="A96" i="2"/>
  <c r="B95" i="2"/>
  <c r="G95" i="2" l="1"/>
  <c r="N95" i="2"/>
  <c r="O95" i="2"/>
  <c r="H95" i="2"/>
  <c r="J95" i="2"/>
  <c r="I95" i="2"/>
  <c r="M95" i="2"/>
  <c r="K95" i="2"/>
  <c r="P95" i="2"/>
  <c r="F95" i="2"/>
  <c r="B96" i="2"/>
  <c r="A97" i="2"/>
  <c r="H96" i="2" l="1"/>
  <c r="G96" i="2"/>
  <c r="O96" i="2"/>
  <c r="N96" i="2"/>
  <c r="J96" i="2"/>
  <c r="I96" i="2"/>
  <c r="K96" i="2"/>
  <c r="M96" i="2"/>
  <c r="F96" i="2"/>
  <c r="P96" i="2"/>
  <c r="A98" i="2"/>
  <c r="B97" i="2"/>
  <c r="J97" i="2" l="1"/>
  <c r="H97" i="2"/>
  <c r="G97" i="2"/>
  <c r="O97" i="2"/>
  <c r="N97" i="2"/>
  <c r="I97" i="2"/>
  <c r="K97" i="2"/>
  <c r="M97" i="2"/>
  <c r="A99" i="2"/>
  <c r="B98" i="2"/>
  <c r="F97" i="2"/>
  <c r="P97" i="2"/>
  <c r="G98" i="2" l="1"/>
  <c r="O98" i="2"/>
  <c r="J98" i="2"/>
  <c r="N98" i="2"/>
  <c r="H98" i="2"/>
  <c r="I98" i="2"/>
  <c r="K98" i="2"/>
  <c r="M98" i="2"/>
  <c r="F98" i="2"/>
  <c r="P98" i="2"/>
  <c r="B99" i="2"/>
  <c r="A100" i="2"/>
  <c r="O99" i="2" l="1"/>
  <c r="N99" i="2"/>
  <c r="J99" i="2"/>
  <c r="H99" i="2"/>
  <c r="G99" i="2"/>
  <c r="I99" i="2"/>
  <c r="K99" i="2"/>
  <c r="M99" i="2"/>
  <c r="P99" i="2"/>
  <c r="F99" i="2"/>
  <c r="B100" i="2"/>
  <c r="A101" i="2"/>
  <c r="H100" i="2" l="1"/>
  <c r="O100" i="2"/>
  <c r="J100" i="2"/>
  <c r="N100" i="2"/>
  <c r="G100" i="2"/>
  <c r="I100" i="2"/>
  <c r="K100" i="2"/>
  <c r="M100" i="2"/>
  <c r="F100" i="2"/>
  <c r="P100" i="2"/>
  <c r="A102" i="2"/>
  <c r="B101" i="2"/>
  <c r="O101" i="2" l="1"/>
  <c r="N101" i="2"/>
  <c r="J101" i="2"/>
  <c r="H101" i="2"/>
  <c r="G101" i="2"/>
  <c r="I101" i="2"/>
  <c r="K101" i="2"/>
  <c r="M101" i="2"/>
  <c r="B102" i="2"/>
  <c r="A103" i="2"/>
  <c r="F101" i="2"/>
  <c r="P101" i="2"/>
  <c r="H102" i="2" l="1"/>
  <c r="O102" i="2"/>
  <c r="G102" i="2"/>
  <c r="J102" i="2"/>
  <c r="N102" i="2"/>
  <c r="I102" i="2"/>
  <c r="K102" i="2"/>
  <c r="M102" i="2"/>
  <c r="B103" i="2"/>
  <c r="A104" i="2"/>
  <c r="F102" i="2"/>
  <c r="P102" i="2"/>
  <c r="J103" i="2" l="1"/>
  <c r="O103" i="2"/>
  <c r="N103" i="2"/>
  <c r="H103" i="2"/>
  <c r="G103" i="2"/>
  <c r="I103" i="2"/>
  <c r="M103" i="2"/>
  <c r="K103" i="2"/>
  <c r="B104" i="2"/>
  <c r="A105" i="2"/>
  <c r="P103" i="2"/>
  <c r="F103" i="2"/>
  <c r="N104" i="2" l="1"/>
  <c r="J104" i="2"/>
  <c r="H104" i="2"/>
  <c r="G104" i="2"/>
  <c r="O104" i="2"/>
  <c r="I104" i="2"/>
  <c r="M104" i="2"/>
  <c r="K104" i="2"/>
  <c r="A106" i="2"/>
  <c r="B105" i="2"/>
  <c r="F104" i="2"/>
  <c r="P104" i="2"/>
  <c r="G105" i="2" l="1"/>
  <c r="H105" i="2"/>
  <c r="O105" i="2"/>
  <c r="N105" i="2"/>
  <c r="J105" i="2"/>
  <c r="I105" i="2"/>
  <c r="K105" i="2"/>
  <c r="M105" i="2"/>
  <c r="F105" i="2"/>
  <c r="P105" i="2"/>
  <c r="A107" i="2"/>
  <c r="B106" i="2"/>
  <c r="O106" i="2" l="1"/>
  <c r="N106" i="2"/>
  <c r="J106" i="2"/>
  <c r="H106" i="2"/>
  <c r="G106" i="2"/>
  <c r="I106" i="2"/>
  <c r="K106" i="2"/>
  <c r="M106" i="2"/>
  <c r="A108" i="2"/>
  <c r="B107" i="2"/>
  <c r="P106" i="2"/>
  <c r="F106" i="2"/>
  <c r="G107" i="2" l="1"/>
  <c r="H107" i="2"/>
  <c r="J107" i="2"/>
  <c r="N107" i="2"/>
  <c r="O107" i="2"/>
  <c r="I107" i="2"/>
  <c r="K107" i="2"/>
  <c r="M107" i="2"/>
  <c r="P107" i="2"/>
  <c r="F107" i="2"/>
  <c r="B108" i="2"/>
  <c r="A109" i="2"/>
  <c r="O108" i="2" l="1"/>
  <c r="N108" i="2"/>
  <c r="J108" i="2"/>
  <c r="H108" i="2"/>
  <c r="G108" i="2"/>
  <c r="I108" i="2"/>
  <c r="M108" i="2"/>
  <c r="K108" i="2"/>
  <c r="F108" i="2"/>
  <c r="P108" i="2"/>
  <c r="A110" i="2"/>
  <c r="B109" i="2"/>
  <c r="J109" i="2" l="1"/>
  <c r="H109" i="2"/>
  <c r="G109" i="2"/>
  <c r="O109" i="2"/>
  <c r="N109" i="2"/>
  <c r="I109" i="2"/>
  <c r="M109" i="2"/>
  <c r="K109" i="2"/>
  <c r="B110" i="2"/>
  <c r="A111" i="2"/>
  <c r="F109" i="2"/>
  <c r="P109" i="2"/>
  <c r="G110" i="2" l="1"/>
  <c r="O110" i="2"/>
  <c r="N110" i="2"/>
  <c r="J110" i="2"/>
  <c r="H110" i="2"/>
  <c r="I110" i="2"/>
  <c r="M110" i="2"/>
  <c r="K110" i="2"/>
  <c r="P110" i="2"/>
  <c r="F110" i="2"/>
</calcChain>
</file>

<file path=xl/sharedStrings.xml><?xml version="1.0" encoding="utf-8"?>
<sst xmlns="http://schemas.openxmlformats.org/spreadsheetml/2006/main" count="382" uniqueCount="187">
  <si>
    <t>Power Loss Calculation</t>
  </si>
  <si>
    <t>Switching Frequency</t>
  </si>
  <si>
    <t>kHz</t>
  </si>
  <si>
    <t>Input Voltage</t>
  </si>
  <si>
    <t>V</t>
  </si>
  <si>
    <t>Duty Cycle</t>
  </si>
  <si>
    <t>Ouptut Voltage</t>
  </si>
  <si>
    <t>Effective Output Resistance</t>
  </si>
  <si>
    <t>Ohm</t>
  </si>
  <si>
    <t>Output Current</t>
  </si>
  <si>
    <t>A</t>
  </si>
  <si>
    <t>OUTPUT INDUCTOR</t>
  </si>
  <si>
    <r>
      <t>Inductor Current Ripple Ratio (</t>
    </r>
    <r>
      <rPr>
        <b/>
        <sz val="10"/>
        <rFont val="Arial"/>
        <family val="2"/>
      </rPr>
      <t>∆</t>
    </r>
    <r>
      <rPr>
        <b/>
        <sz val="10"/>
        <rFont val="Times New Roman"/>
        <family val="1"/>
      </rPr>
      <t>I/Iin)</t>
    </r>
  </si>
  <si>
    <t>%</t>
  </si>
  <si>
    <t>Recommended Inductor</t>
  </si>
  <si>
    <t>uH</t>
  </si>
  <si>
    <t>Current Ripple</t>
  </si>
  <si>
    <t>Ap-p</t>
  </si>
  <si>
    <t>Input Inductor</t>
  </si>
  <si>
    <t>Inductor Average Current</t>
  </si>
  <si>
    <t>Conduction Loss</t>
  </si>
  <si>
    <t>Switching Loss</t>
  </si>
  <si>
    <t xml:space="preserve">     DCR</t>
  </si>
  <si>
    <t>mOhm</t>
  </si>
  <si>
    <t>Inductor Peak Current</t>
  </si>
  <si>
    <t>Q1</t>
  </si>
  <si>
    <t>Q2</t>
  </si>
  <si>
    <t>OUTPUT CAPACITOR</t>
  </si>
  <si>
    <t>Q3</t>
  </si>
  <si>
    <t>Number of Output Capacitor</t>
  </si>
  <si>
    <t>Q4</t>
  </si>
  <si>
    <t xml:space="preserve">   Capacitance (Each)</t>
  </si>
  <si>
    <t>uF</t>
  </si>
  <si>
    <t>Driver</t>
  </si>
  <si>
    <t xml:space="preserve">   ESR (Each)</t>
  </si>
  <si>
    <t>Output Inductor</t>
  </si>
  <si>
    <t>Ouput Cap. ESR</t>
  </si>
  <si>
    <t>Rdson</t>
  </si>
  <si>
    <t xml:space="preserve">Rdson </t>
  </si>
  <si>
    <t>Thermal Resitance</t>
  </si>
  <si>
    <r>
      <rPr>
        <b/>
        <sz val="10"/>
        <rFont val="Symbol"/>
        <family val="1"/>
        <charset val="2"/>
      </rPr>
      <t>°</t>
    </r>
    <r>
      <rPr>
        <b/>
        <sz val="10"/>
        <rFont val="Arial"/>
        <family val="2"/>
      </rPr>
      <t>C/Watt</t>
    </r>
  </si>
  <si>
    <t>Ambient Temperature</t>
  </si>
  <si>
    <r>
      <rPr>
        <b/>
        <sz val="10"/>
        <rFont val="Symbol"/>
        <family val="1"/>
        <charset val="2"/>
      </rPr>
      <t>°</t>
    </r>
    <r>
      <rPr>
        <b/>
        <sz val="10"/>
        <rFont val="Arial"/>
        <family val="2"/>
      </rPr>
      <t>C</t>
    </r>
  </si>
  <si>
    <t>Total Loss</t>
  </si>
  <si>
    <t>Watts</t>
  </si>
  <si>
    <t>Efficiency</t>
  </si>
  <si>
    <t>Power Dissipation in IC</t>
  </si>
  <si>
    <t>W</t>
  </si>
  <si>
    <t>UPPER MOSFET (VIN to PHASE1)</t>
  </si>
  <si>
    <t xml:space="preserve">  Q1, Rds,on</t>
  </si>
  <si>
    <t xml:space="preserve">   Vd</t>
  </si>
  <si>
    <t xml:space="preserve">   Qrr</t>
  </si>
  <si>
    <t>nC</t>
  </si>
  <si>
    <t xml:space="preserve">   Qg</t>
  </si>
  <si>
    <t>Rdson*Qg</t>
  </si>
  <si>
    <t>mOhm*C</t>
  </si>
  <si>
    <t xml:space="preserve">   Cgs</t>
  </si>
  <si>
    <t>nF</t>
  </si>
  <si>
    <t>Rdson*Cgs</t>
  </si>
  <si>
    <t>mOhm*nF</t>
  </si>
  <si>
    <t xml:space="preserve">   Coss</t>
  </si>
  <si>
    <t>Rdson*Coss</t>
  </si>
  <si>
    <t xml:space="preserve">   Tr</t>
  </si>
  <si>
    <t>ns</t>
  </si>
  <si>
    <t>Switching time of upper MOSFET from OFF to ON</t>
  </si>
  <si>
    <t xml:space="preserve">   Tf</t>
  </si>
  <si>
    <t>Switching time of upper MOSFET from ON to OFF</t>
  </si>
  <si>
    <t xml:space="preserve">   n</t>
  </si>
  <si>
    <t>Number of upper MOSFETs</t>
  </si>
  <si>
    <t xml:space="preserve">   Pcon</t>
  </si>
  <si>
    <t>Upper MOSFETs conduction loss = (Irms.upper)^2*Rds/n</t>
  </si>
  <si>
    <t xml:space="preserve">   Psw_on</t>
  </si>
  <si>
    <t>Upper MOSFETs turn-ON switching loss = Vin*(Iout-Irip/2)*Tr*Fsw/2</t>
  </si>
  <si>
    <t xml:space="preserve">   Psw_off</t>
  </si>
  <si>
    <t>Upper MOSFETs turn-OFF switching loss = Vin*(Iout+Irip/2)*Tf*Fsw/2</t>
  </si>
  <si>
    <t xml:space="preserve">   Pdiode</t>
  </si>
  <si>
    <t>Upper MOSFET diode reverse recovery loss = n*Vin*Fsw*Qrr</t>
  </si>
  <si>
    <t xml:space="preserve">   Pcap</t>
  </si>
  <si>
    <t>MOSFET output capacitance loss  = n*Coss*(Vin)^2*Fsw/2</t>
  </si>
  <si>
    <t xml:space="preserve">   Pupper</t>
  </si>
  <si>
    <t>Total upper MOSFETs Power loss</t>
  </si>
  <si>
    <t>LOWER MOSFET (PHASE1 to PGND)</t>
  </si>
  <si>
    <t xml:space="preserve">  Q2,  Rds,on</t>
  </si>
  <si>
    <t xml:space="preserve">   Td_on</t>
  </si>
  <si>
    <t>Dead time for UGATE OFF to LGATE ON</t>
  </si>
  <si>
    <t xml:space="preserve">   Td_off</t>
  </si>
  <si>
    <t>Dead time for LGATE ON to UGATE OFF</t>
  </si>
  <si>
    <t>Number of lower MOSFETs</t>
  </si>
  <si>
    <t>Lower MOSFET conduction loss = (Irms.lower)^2*Rds/n</t>
  </si>
  <si>
    <t>Body diode conduction loss = Vd*Fsw*[ (Iin+Irip/2) * Td1+ (Iin-Irip/2) * Td2]</t>
  </si>
  <si>
    <t xml:space="preserve">   Pdiode_QRR</t>
  </si>
  <si>
    <t>Lower MOSFET diode reverse recovery loss = n*Vout*Fsw*Qrr</t>
  </si>
  <si>
    <t>MOSFET output capacitance loss  = n*Coss*(Vout)^2*Fsw/2</t>
  </si>
  <si>
    <t xml:space="preserve">   Plower</t>
  </si>
  <si>
    <t>Total lower MOSFETs Power loss</t>
  </si>
  <si>
    <t>UPPER MOSFET (PHASE2 to VOUT)</t>
  </si>
  <si>
    <t xml:space="preserve">  Q3, Rds,on</t>
  </si>
  <si>
    <t>Upper MOSFETs turn-ON switching loss = Vout*(Iout-Irip/2)*Tr*Fsw/2</t>
  </si>
  <si>
    <t>Upper MOSFETs turn-OFF switching loss = Vout*(Iout+Irip/2)*Tf*Fsw/2</t>
  </si>
  <si>
    <t>Upper MOSFET diode reverse recovery loss = n*Vout*Fsw*Qrr</t>
  </si>
  <si>
    <t>LOWER MOSFET (PHASE2 to PGND)</t>
  </si>
  <si>
    <t xml:space="preserve">  Q4,  Rds,on</t>
  </si>
  <si>
    <t>DRIVER POWER LOSS</t>
  </si>
  <si>
    <t>Vgs,u</t>
  </si>
  <si>
    <t>Vgs,l</t>
  </si>
  <si>
    <t>Iq</t>
  </si>
  <si>
    <t>mA</t>
  </si>
  <si>
    <t>Quiescent Current</t>
  </si>
  <si>
    <t>Pdr,Q1</t>
  </si>
  <si>
    <t>Upper MOSFET driver loss = n*Vgs1*Fsw*Qg.up</t>
  </si>
  <si>
    <t>Pdr,Q2</t>
  </si>
  <si>
    <t>Lower MOSFET driver loss = n*Vgs2*Fsw*Qg.low</t>
  </si>
  <si>
    <t>Pdr,Q3</t>
  </si>
  <si>
    <t>Pdr,Q4</t>
  </si>
  <si>
    <t>Pdriver</t>
  </si>
  <si>
    <t>Total driver power loss</t>
  </si>
  <si>
    <t>OUTPUT INDUCTOR LOSS</t>
  </si>
  <si>
    <t>Pcore</t>
  </si>
  <si>
    <t>Inductor core loss</t>
  </si>
  <si>
    <t>Pcon</t>
  </si>
  <si>
    <t>Inductor conduction loss = (Irms)^2*DCR</t>
  </si>
  <si>
    <t>Pind</t>
  </si>
  <si>
    <t>Total inductor loss</t>
  </si>
  <si>
    <t>OUTPUT CAPACITOR LOSS</t>
  </si>
  <si>
    <t>Pesr</t>
  </si>
  <si>
    <t>ESR Conduction Loss</t>
  </si>
  <si>
    <t>PWM Efficiency Summary</t>
  </si>
  <si>
    <t>Min Current</t>
  </si>
  <si>
    <t>Max Current</t>
  </si>
  <si>
    <t xml:space="preserve">Total Power Loss </t>
  </si>
  <si>
    <t>Losses in Q1 MOSFET</t>
  </si>
  <si>
    <t>Losses in Q2 MOSFET</t>
  </si>
  <si>
    <t>Losses in Q3 MOSFET</t>
  </si>
  <si>
    <t>Losses in Q4 MOSFET</t>
  </si>
  <si>
    <t>Driver Loss</t>
  </si>
  <si>
    <t>Inductor Loss</t>
  </si>
  <si>
    <t>Capactor Loss</t>
  </si>
  <si>
    <t>D</t>
  </si>
  <si>
    <t>Irip</t>
  </si>
  <si>
    <t>Iup,rms</t>
  </si>
  <si>
    <t>Ilos,rms</t>
  </si>
  <si>
    <t>PFM Efficiency Summary</t>
  </si>
  <si>
    <t>PFM Pk Current</t>
  </si>
  <si>
    <t>V_ls_diode</t>
  </si>
  <si>
    <t xml:space="preserve">Vout Upper </t>
  </si>
  <si>
    <t>Dead Time</t>
  </si>
  <si>
    <t>nsec</t>
  </si>
  <si>
    <t>Iout_PFM</t>
  </si>
  <si>
    <t>uA</t>
  </si>
  <si>
    <t>dt1</t>
  </si>
  <si>
    <t>second</t>
  </si>
  <si>
    <t>On time pulse</t>
  </si>
  <si>
    <t>dt2</t>
  </si>
  <si>
    <t>Off time pulse</t>
  </si>
  <si>
    <t>f1</t>
  </si>
  <si>
    <t>Hz</t>
  </si>
  <si>
    <t>f1=1/(dt1+dt2)</t>
  </si>
  <si>
    <t>f2</t>
  </si>
  <si>
    <t>f2=2*Iout(I_PFM_pk/2 -Iout)/((Vout_upper-Vout)*Cout*I_PFM_pk)</t>
  </si>
  <si>
    <t>P_lnd_cond</t>
  </si>
  <si>
    <t>Inductor conduction loss</t>
  </si>
  <si>
    <t>P_lnd_ac</t>
  </si>
  <si>
    <t>P_hs_cond</t>
  </si>
  <si>
    <t>P_hs_cond=Rdson_hs*2*Iout*T_PFM_pk*Vout/(3*Vin)</t>
  </si>
  <si>
    <t>P_hs_turn_off</t>
  </si>
  <si>
    <t>P_hs_turn_off is the ac loss = 2*Cgsp*Vin^2*Iout(Vout*(Vin-Vout)/(I_PFM_pk*L*)*tf</t>
  </si>
  <si>
    <t>P_hs_gate_drive</t>
  </si>
  <si>
    <t>P_hs_gate_drive is the gate driver loss = Cgshs*Vgs^2*2*Iout*Vout*(Vin-Vout)/(I_PFM_pk^2*L*Vdr)</t>
  </si>
  <si>
    <t>N_ls_cond</t>
  </si>
  <si>
    <t>N_ls_cond=Rdson_ls*2*Iout*I_PFM_pk*(Vin-Vout)/(3*Vin)</t>
  </si>
  <si>
    <t>N_ls_gate_drive</t>
  </si>
  <si>
    <t>N_ls_gate_drive is the gate driver loss = Cgshs*Vgs^2*2*Iout*Vout*(Vin-Vout)/(I_PFM_pk^2*L*Vdr)</t>
  </si>
  <si>
    <t>D_ls_diode</t>
  </si>
  <si>
    <t>N_ls_diode=V_ls_diode*Dead_time*2*Iout*Vout*(Vin-Vout)/(I_PFM_pk^2*Lout*Vin)</t>
  </si>
  <si>
    <t>Cout_esr</t>
  </si>
  <si>
    <t>Cout_esr=Resr*Iout*I_PFM_pk/6</t>
  </si>
  <si>
    <t>P_iq</t>
  </si>
  <si>
    <t>Quiescent Power Loss=Iq*Vin</t>
  </si>
  <si>
    <t>Pwr Loss Total</t>
  </si>
  <si>
    <t>Efficiency_PFM</t>
  </si>
  <si>
    <t>step</t>
  </si>
  <si>
    <t>Output Iout</t>
  </si>
  <si>
    <t>Q1 MOSFET (VIN-SW1)</t>
  </si>
  <si>
    <t>Q2 MOSFET (SW1-PGND)</t>
  </si>
  <si>
    <t>Q3 MOSFET (SW2-VOUT)</t>
  </si>
  <si>
    <t>Q4 MOSFET (SW2-PGND)</t>
  </si>
  <si>
    <t>Junction Temperature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</si>
</sst>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E+00"/>
    <numFmt numFmtId="167" formatCode="#,##0.0"/>
    <numFmt numFmtId="168" formatCode="#,##0.000"/>
    <numFmt numFmtId="169" formatCode="0.000E+00"/>
    <numFmt numFmtId="170" formatCode="0.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i/>
      <u/>
      <sz val="10"/>
      <name val="Arial"/>
      <family val="2"/>
    </font>
    <font>
      <b/>
      <sz val="10"/>
      <color theme="0"/>
      <name val="Arial"/>
      <family val="2"/>
    </font>
    <font>
      <b/>
      <sz val="10"/>
      <name val="Times New Roman"/>
      <family val="1"/>
    </font>
    <font>
      <b/>
      <sz val="10"/>
      <name val="Symbol"/>
      <family val="1"/>
      <charset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i/>
      <u/>
      <sz val="10"/>
      <color theme="0"/>
      <name val="Arial"/>
      <family val="2"/>
    </font>
    <font>
      <b/>
      <sz val="2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12"/>
      <color theme="0"/>
      <name val="Arial"/>
      <family val="2"/>
    </font>
    <font>
      <b/>
      <i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7" fillId="0" borderId="0"/>
  </cellStyleXfs>
  <cellXfs count="71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3" fillId="2" borderId="0" xfId="0" applyFont="1" applyFill="1"/>
    <xf numFmtId="0" fontId="2" fillId="4" borderId="0" xfId="0" applyFont="1" applyFill="1"/>
    <xf numFmtId="164" fontId="2" fillId="5" borderId="0" xfId="0" applyNumberFormat="1" applyFont="1" applyFill="1" applyProtection="1">
      <protection locked="0"/>
    </xf>
    <xf numFmtId="0" fontId="5" fillId="2" borderId="0" xfId="0" applyFont="1" applyFill="1"/>
    <xf numFmtId="2" fontId="2" fillId="5" borderId="0" xfId="0" applyNumberFormat="1" applyFont="1" applyFill="1" applyProtection="1">
      <protection locked="0"/>
    </xf>
    <xf numFmtId="0" fontId="7" fillId="2" borderId="0" xfId="0" applyFont="1" applyFill="1"/>
    <xf numFmtId="0" fontId="8" fillId="5" borderId="0" xfId="0" applyFont="1" applyFill="1" applyProtection="1">
      <protection locked="0"/>
    </xf>
    <xf numFmtId="0" fontId="7" fillId="2" borderId="0" xfId="0" applyFont="1" applyFill="1" applyProtection="1">
      <protection hidden="1"/>
    </xf>
    <xf numFmtId="1" fontId="2" fillId="5" borderId="0" xfId="0" applyNumberFormat="1" applyFont="1" applyFill="1" applyProtection="1">
      <protection locked="0"/>
    </xf>
    <xf numFmtId="0" fontId="12" fillId="2" borderId="0" xfId="0" applyFont="1" applyFill="1"/>
    <xf numFmtId="0" fontId="14" fillId="2" borderId="0" xfId="0" applyFont="1" applyFill="1"/>
    <xf numFmtId="0" fontId="12" fillId="2" borderId="0" xfId="0" applyFont="1" applyFill="1" applyProtection="1">
      <protection hidden="1"/>
    </xf>
    <xf numFmtId="0" fontId="15" fillId="2" borderId="0" xfId="0" applyFont="1" applyFill="1"/>
    <xf numFmtId="0" fontId="16" fillId="2" borderId="0" xfId="0" applyFont="1" applyFill="1"/>
    <xf numFmtId="0" fontId="7" fillId="6" borderId="0" xfId="0" applyFont="1" applyFill="1"/>
    <xf numFmtId="0" fontId="2" fillId="2" borderId="0" xfId="0" applyFont="1" applyFill="1" applyProtection="1">
      <protection hidden="1"/>
    </xf>
    <xf numFmtId="0" fontId="2" fillId="5" borderId="0" xfId="0" applyFont="1" applyFill="1" applyProtection="1">
      <protection locked="0"/>
    </xf>
    <xf numFmtId="0" fontId="2" fillId="6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165" fontId="7" fillId="2" borderId="0" xfId="0" applyNumberFormat="1" applyFont="1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165" fontId="7" fillId="2" borderId="0" xfId="0" applyNumberFormat="1" applyFont="1" applyFill="1"/>
    <xf numFmtId="170" fontId="7" fillId="2" borderId="0" xfId="0" applyNumberFormat="1" applyFont="1" applyFill="1"/>
    <xf numFmtId="0" fontId="18" fillId="6" borderId="0" xfId="0" applyFont="1" applyFill="1"/>
    <xf numFmtId="11" fontId="7" fillId="2" borderId="0" xfId="0" applyNumberFormat="1" applyFont="1" applyFill="1" applyProtection="1">
      <protection hidden="1"/>
    </xf>
    <xf numFmtId="0" fontId="7" fillId="6" borderId="0" xfId="0" applyFont="1" applyFill="1" applyAlignment="1">
      <alignment horizontal="right"/>
    </xf>
    <xf numFmtId="11" fontId="7" fillId="6" borderId="0" xfId="0" applyNumberFormat="1" applyFont="1" applyFill="1"/>
    <xf numFmtId="11" fontId="7" fillId="2" borderId="0" xfId="0" applyNumberFormat="1" applyFont="1" applyFill="1"/>
    <xf numFmtId="0" fontId="7" fillId="2" borderId="0" xfId="0" quotePrefix="1" applyFont="1" applyFill="1"/>
    <xf numFmtId="0" fontId="4" fillId="2" borderId="0" xfId="0" applyFont="1" applyFill="1"/>
    <xf numFmtId="164" fontId="2" fillId="3" borderId="0" xfId="0" applyNumberFormat="1" applyFont="1" applyFill="1"/>
    <xf numFmtId="2" fontId="2" fillId="3" borderId="0" xfId="0" applyNumberFormat="1" applyFont="1" applyFill="1"/>
    <xf numFmtId="0" fontId="2" fillId="3" borderId="0" xfId="0" applyFont="1" applyFill="1"/>
    <xf numFmtId="2" fontId="2" fillId="2" borderId="0" xfId="0" applyNumberFormat="1" applyFont="1" applyFill="1"/>
    <xf numFmtId="165" fontId="2" fillId="3" borderId="0" xfId="0" applyNumberFormat="1" applyFont="1" applyFill="1"/>
    <xf numFmtId="0" fontId="6" fillId="2" borderId="0" xfId="0" applyFont="1" applyFill="1"/>
    <xf numFmtId="0" fontId="8" fillId="2" borderId="0" xfId="0" applyFont="1" applyFill="1"/>
    <xf numFmtId="0" fontId="8" fillId="4" borderId="0" xfId="0" applyFont="1" applyFill="1"/>
    <xf numFmtId="165" fontId="2" fillId="2" borderId="0" xfId="0" applyNumberFormat="1" applyFont="1" applyFill="1"/>
    <xf numFmtId="0" fontId="2" fillId="2" borderId="0" xfId="0" quotePrefix="1" applyFont="1" applyFill="1"/>
    <xf numFmtId="1" fontId="2" fillId="2" borderId="0" xfId="0" applyNumberFormat="1" applyFont="1" applyFill="1"/>
    <xf numFmtId="166" fontId="7" fillId="2" borderId="0" xfId="0" applyNumberFormat="1" applyFont="1" applyFill="1"/>
    <xf numFmtId="1" fontId="2" fillId="3" borderId="0" xfId="0" applyNumberFormat="1" applyFont="1" applyFill="1"/>
    <xf numFmtId="0" fontId="2" fillId="2" borderId="0" xfId="1" applyFont="1" applyFill="1"/>
    <xf numFmtId="0" fontId="2" fillId="4" borderId="0" xfId="1" applyFont="1" applyFill="1"/>
    <xf numFmtId="0" fontId="10" fillId="2" borderId="0" xfId="0" applyFont="1" applyFill="1"/>
    <xf numFmtId="165" fontId="11" fillId="3" borderId="0" xfId="0" applyNumberFormat="1" applyFont="1" applyFill="1"/>
    <xf numFmtId="0" fontId="11" fillId="4" borderId="0" xfId="0" applyFont="1" applyFill="1"/>
    <xf numFmtId="1" fontId="2" fillId="3" borderId="0" xfId="1" applyNumberFormat="1" applyFont="1" applyFill="1"/>
    <xf numFmtId="165" fontId="2" fillId="7" borderId="0" xfId="0" applyNumberFormat="1" applyFont="1" applyFill="1"/>
    <xf numFmtId="0" fontId="2" fillId="8" borderId="0" xfId="0" applyFont="1" applyFill="1"/>
    <xf numFmtId="1" fontId="2" fillId="2" borderId="1" xfId="0" applyNumberFormat="1" applyFont="1" applyFill="1" applyBorder="1"/>
    <xf numFmtId="1" fontId="3" fillId="2" borderId="0" xfId="0" applyNumberFormat="1" applyFont="1" applyFill="1"/>
    <xf numFmtId="0" fontId="13" fillId="2" borderId="0" xfId="0" applyFont="1" applyFill="1"/>
    <xf numFmtId="164" fontId="7" fillId="2" borderId="0" xfId="0" applyNumberFormat="1" applyFont="1" applyFill="1"/>
    <xf numFmtId="167" fontId="7" fillId="2" borderId="0" xfId="0" applyNumberFormat="1" applyFont="1" applyFill="1"/>
    <xf numFmtId="168" fontId="7" fillId="2" borderId="0" xfId="0" applyNumberFormat="1" applyFont="1" applyFill="1"/>
    <xf numFmtId="0" fontId="7" fillId="0" borderId="0" xfId="0" applyFont="1"/>
    <xf numFmtId="1" fontId="7" fillId="2" borderId="0" xfId="0" applyNumberFormat="1" applyFont="1" applyFill="1"/>
    <xf numFmtId="165" fontId="7" fillId="0" borderId="0" xfId="0" applyNumberFormat="1" applyFont="1"/>
    <xf numFmtId="4" fontId="7" fillId="2" borderId="0" xfId="0" applyNumberFormat="1" applyFont="1" applyFill="1"/>
    <xf numFmtId="0" fontId="19" fillId="2" borderId="0" xfId="0" applyFont="1" applyFill="1"/>
    <xf numFmtId="169" fontId="7" fillId="2" borderId="0" xfId="0" applyNumberFormat="1" applyFont="1" applyFill="1"/>
    <xf numFmtId="165" fontId="19" fillId="2" borderId="0" xfId="0" applyNumberFormat="1" applyFont="1" applyFill="1"/>
    <xf numFmtId="165" fontId="3" fillId="2" borderId="0" xfId="0" applyNumberFormat="1" applyFont="1" applyFill="1"/>
    <xf numFmtId="0" fontId="2" fillId="5" borderId="0" xfId="1" applyFont="1" applyFill="1" applyProtection="1">
      <protection locked="0"/>
    </xf>
    <xf numFmtId="1" fontId="2" fillId="6" borderId="0" xfId="0" applyNumberFormat="1" applyFont="1" applyFill="1"/>
  </cellXfs>
  <cellStyles count="3">
    <cellStyle name="Normal" xfId="0" builtinId="0"/>
    <cellStyle name="Normal 3" xfId="2" xr:uid="{00000000-0005-0000-0000-000001000000}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US"/>
              <a:t>Power Loss Distribution Chart</a:t>
            </a:r>
          </a:p>
        </c:rich>
      </c:tx>
      <c:layout>
        <c:manualLayout>
          <c:xMode val="edge"/>
          <c:yMode val="edge"/>
          <c:x val="0.30381469028513319"/>
          <c:y val="3.10419441681138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23978201634879"/>
          <c:y val="0.19290486517035188"/>
          <c:w val="0.82152588555858308"/>
          <c:h val="0.58758378471429018"/>
        </c:manualLayout>
      </c:layout>
      <c:barChart>
        <c:barDir val="col"/>
        <c:grouping val="stacked"/>
        <c:varyColors val="0"/>
        <c:ser>
          <c:idx val="0"/>
          <c:order val="0"/>
          <c:tx>
            <c:v>Conduction Losses</c:v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'Power Loss'!$J$28:$J$34</c:f>
              <c:strCache>
                <c:ptCount val="7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Driver</c:v>
                </c:pt>
                <c:pt idx="5">
                  <c:v>Output Inductor</c:v>
                </c:pt>
                <c:pt idx="6">
                  <c:v>Ouput Cap. ESR</c:v>
                </c:pt>
              </c:strCache>
            </c:strRef>
          </c:cat>
          <c:val>
            <c:numRef>
              <c:f>'Power Loss'!$K$28:$K$34</c:f>
              <c:numCache>
                <c:formatCode>0.000</c:formatCode>
                <c:ptCount val="7"/>
                <c:pt idx="0">
                  <c:v>0.26302945843872982</c:v>
                </c:pt>
                <c:pt idx="1">
                  <c:v>0</c:v>
                </c:pt>
                <c:pt idx="2">
                  <c:v>0.20269370923586902</c:v>
                </c:pt>
                <c:pt idx="3">
                  <c:v>6.0019287844800456E-2</c:v>
                </c:pt>
                <c:pt idx="5">
                  <c:v>0.12605772450477568</c:v>
                </c:pt>
                <c:pt idx="6" formatCode="0.0E+00">
                  <c:v>4.0012858563200308E-3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F-4237-BC18-724197737293}"/>
            </c:ext>
          </c:extLst>
        </c:ser>
        <c:ser>
          <c:idx val="1"/>
          <c:order val="1"/>
          <c:tx>
            <c:v>Switching Losses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'Power Loss'!$J$28:$J$34</c:f>
              <c:strCache>
                <c:ptCount val="7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Driver</c:v>
                </c:pt>
                <c:pt idx="5">
                  <c:v>Output Inductor</c:v>
                </c:pt>
                <c:pt idx="6">
                  <c:v>Ouput Cap. ESR</c:v>
                </c:pt>
              </c:strCache>
            </c:strRef>
          </c:cat>
          <c:val>
            <c:numRef>
              <c:f>'Power Loss'!$L$28:$L$34</c:f>
              <c:numCache>
                <c:formatCode>0.000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0.20785078510998309</c:v>
                </c:pt>
                <c:pt idx="3">
                  <c:v>8.4720497461928931E-2</c:v>
                </c:pt>
                <c:pt idx="4">
                  <c:v>0.16805599999999998</c:v>
                </c:pt>
                <c:pt idx="5">
                  <c:v>6.0104348694528858E-3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FF-4237-BC18-724197737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3202432"/>
        <c:axId val="233204352"/>
      </c:barChart>
      <c:catAx>
        <c:axId val="233202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Component</a:t>
                </a:r>
              </a:p>
            </c:rich>
          </c:tx>
          <c:layout>
            <c:manualLayout>
              <c:xMode val="edge"/>
              <c:yMode val="edge"/>
              <c:x val="0.48092640534530728"/>
              <c:y val="0.90465752808736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3204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3204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Watts</a:t>
                </a:r>
              </a:p>
            </c:rich>
          </c:tx>
          <c:layout>
            <c:manualLayout>
              <c:xMode val="edge"/>
              <c:yMode val="edge"/>
              <c:x val="2.0435917543049277E-2"/>
              <c:y val="0.4323730518695869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320243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71623508180167794"/>
          <c:y val="0.18843683083511778"/>
          <c:w val="0.23783552294708046"/>
          <c:h val="8.9935760171306209E-2"/>
        </c:manualLayout>
      </c:layout>
      <c:overlay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Efficiency Vs. Load </a:t>
            </a:r>
          </a:p>
        </c:rich>
      </c:tx>
      <c:layout>
        <c:manualLayout>
          <c:xMode val="edge"/>
          <c:yMode val="edge"/>
          <c:x val="0.38507249570902874"/>
          <c:y val="2.92396345193692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791440282383464E-2"/>
          <c:y val="0.16374300176466894"/>
          <c:w val="0.88295275096507109"/>
          <c:h val="0.73879282939058954"/>
        </c:manualLayout>
      </c:layout>
      <c:scatterChart>
        <c:scatterStyle val="smoothMarker"/>
        <c:varyColors val="0"/>
        <c:ser>
          <c:idx val="0"/>
          <c:order val="0"/>
          <c:tx>
            <c:v>PWM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'Efficiency Summary'!$A$13:$A$23</c:f>
              <c:numCache>
                <c:formatCode>General</c:formatCode>
                <c:ptCount val="11"/>
                <c:pt idx="0">
                  <c:v>0.01</c:v>
                </c:pt>
                <c:pt idx="1">
                  <c:v>1.6225E-2</c:v>
                </c:pt>
                <c:pt idx="2">
                  <c:v>3.49E-2</c:v>
                </c:pt>
                <c:pt idx="3">
                  <c:v>0.13450000000000001</c:v>
                </c:pt>
                <c:pt idx="4">
                  <c:v>0.50800000000000001</c:v>
                </c:pt>
                <c:pt idx="5">
                  <c:v>1.006</c:v>
                </c:pt>
                <c:pt idx="6">
                  <c:v>1.504</c:v>
                </c:pt>
                <c:pt idx="7">
                  <c:v>1.7530000000000001</c:v>
                </c:pt>
                <c:pt idx="8">
                  <c:v>2.0020000000000002</c:v>
                </c:pt>
                <c:pt idx="9">
                  <c:v>2.2509999999999999</c:v>
                </c:pt>
                <c:pt idx="10">
                  <c:v>2.5</c:v>
                </c:pt>
              </c:numCache>
            </c:numRef>
          </c:xVal>
          <c:yVal>
            <c:numRef>
              <c:f>'Efficiency Summary'!$C$13:$C$23</c:f>
              <c:numCache>
                <c:formatCode>0.00</c:formatCode>
                <c:ptCount val="11"/>
                <c:pt idx="0">
                  <c:v>16.191611133543255</c:v>
                </c:pt>
                <c:pt idx="1">
                  <c:v>23.827133872393098</c:v>
                </c:pt>
                <c:pt idx="2">
                  <c:v>40.063685371247189</c:v>
                </c:pt>
                <c:pt idx="3">
                  <c:v>71.073238294772864</c:v>
                </c:pt>
                <c:pt idx="4">
                  <c:v>87.423126336545891</c:v>
                </c:pt>
                <c:pt idx="5">
                  <c:v>90.173101875179356</c:v>
                </c:pt>
                <c:pt idx="6">
                  <c:v>90.422642013491327</c:v>
                </c:pt>
                <c:pt idx="7">
                  <c:v>90.275907058425787</c:v>
                </c:pt>
                <c:pt idx="8">
                  <c:v>90.043894403796259</c:v>
                </c:pt>
                <c:pt idx="9">
                  <c:v>89.75916638289074</c:v>
                </c:pt>
                <c:pt idx="10">
                  <c:v>89.441318783407027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80-45D9-84FA-F019A8CCE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425216"/>
        <c:axId val="236426752"/>
      </c:scatterChart>
      <c:valAx>
        <c:axId val="2364252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6426752"/>
        <c:crosses val="autoZero"/>
        <c:crossBetween val="midCat"/>
        <c:minorUnit val="0.05"/>
      </c:valAx>
      <c:valAx>
        <c:axId val="236426752"/>
        <c:scaling>
          <c:orientation val="minMax"/>
          <c:max val="100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6425216"/>
        <c:crossesAt val="0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80927010079201278"/>
          <c:y val="0.81015116531486198"/>
          <c:w val="0.1462018894420217"/>
          <c:h val="9.2105263157894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chemeClr val="accent1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51</xdr:row>
      <xdr:rowOff>15240</xdr:rowOff>
    </xdr:from>
    <xdr:to>
      <xdr:col>7</xdr:col>
      <xdr:colOff>533400</xdr:colOff>
      <xdr:row>78</xdr:row>
      <xdr:rowOff>89535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487550</xdr:colOff>
      <xdr:row>28</xdr:row>
      <xdr:rowOff>66450</xdr:rowOff>
    </xdr:from>
    <xdr:to>
      <xdr:col>10</xdr:col>
      <xdr:colOff>631803</xdr:colOff>
      <xdr:row>30</xdr:row>
      <xdr:rowOff>83483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9069575" y="4981350"/>
          <a:ext cx="144253" cy="340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eaLnBrk="1" hangingPunct="1"/>
          <a:r>
            <a:rPr lang="en-US" altLang="en-US" b="0">
              <a:solidFill>
                <a:srgbClr val="000000"/>
              </a:solidFill>
              <a:latin typeface="Arial" panose="020B0604020202020204" pitchFamily="34" charset="0"/>
            </a:rPr>
            <a:t>L</a:t>
          </a:r>
          <a:endParaRPr lang="el-GR" altLang="en-US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266700</xdr:colOff>
      <xdr:row>30</xdr:row>
      <xdr:rowOff>9525</xdr:rowOff>
    </xdr:from>
    <xdr:to>
      <xdr:col>11</xdr:col>
      <xdr:colOff>0</xdr:colOff>
      <xdr:row>31</xdr:row>
      <xdr:rowOff>47625</xdr:rowOff>
    </xdr:to>
    <xdr:grpSp>
      <xdr:nvGrpSpPr>
        <xdr:cNvPr id="4" name="Group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>
          <a:grpSpLocks/>
        </xdr:cNvGrpSpPr>
      </xdr:nvGrpSpPr>
      <xdr:grpSpPr bwMode="auto">
        <a:xfrm>
          <a:off x="9191625" y="5288280"/>
          <a:ext cx="762000" cy="200025"/>
          <a:chOff x="3216" y="1631"/>
          <a:chExt cx="133" cy="34"/>
        </a:xfrm>
      </xdr:grpSpPr>
      <xdr:sp macro="" textlink="">
        <xdr:nvSpPr>
          <xdr:cNvPr id="5" name="Freeform 97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/>
          </xdr:cNvSpPr>
        </xdr:nvSpPr>
        <xdr:spPr bwMode="auto">
          <a:xfrm>
            <a:off x="3327" y="1631"/>
            <a:ext cx="22" cy="34"/>
          </a:xfrm>
          <a:custGeom>
            <a:avLst/>
            <a:gdLst>
              <a:gd name="T0" fmla="*/ 0 w 43"/>
              <a:gd name="T1" fmla="*/ 0 h 68"/>
              <a:gd name="T2" fmla="*/ 1 w 43"/>
              <a:gd name="T3" fmla="*/ 1 h 68"/>
              <a:gd name="T4" fmla="*/ 1 w 43"/>
              <a:gd name="T5" fmla="*/ 1 h 68"/>
              <a:gd name="T6" fmla="*/ 1 w 43"/>
              <a:gd name="T7" fmla="*/ 1 h 68"/>
              <a:gd name="T8" fmla="*/ 1 w 43"/>
              <a:gd name="T9" fmla="*/ 1 h 68"/>
              <a:gd name="T10" fmla="*/ 1 w 43"/>
              <a:gd name="T11" fmla="*/ 1 h 68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43" h="68">
                <a:moveTo>
                  <a:pt x="0" y="0"/>
                </a:moveTo>
                <a:lnTo>
                  <a:pt x="14" y="3"/>
                </a:lnTo>
                <a:lnTo>
                  <a:pt x="25" y="12"/>
                </a:lnTo>
                <a:lnTo>
                  <a:pt x="34" y="29"/>
                </a:lnTo>
                <a:lnTo>
                  <a:pt x="42" y="48"/>
                </a:lnTo>
                <a:lnTo>
                  <a:pt x="43" y="68"/>
                </a:lnTo>
              </a:path>
            </a:pathLst>
          </a:cu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" name="Freeform 98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/>
          </xdr:cNvSpPr>
        </xdr:nvSpPr>
        <xdr:spPr bwMode="auto">
          <a:xfrm>
            <a:off x="3305" y="1631"/>
            <a:ext cx="22" cy="34"/>
          </a:xfrm>
          <a:custGeom>
            <a:avLst/>
            <a:gdLst>
              <a:gd name="T0" fmla="*/ 0 w 45"/>
              <a:gd name="T1" fmla="*/ 0 h 68"/>
              <a:gd name="T2" fmla="*/ 0 w 45"/>
              <a:gd name="T3" fmla="*/ 1 h 68"/>
              <a:gd name="T4" fmla="*/ 0 w 45"/>
              <a:gd name="T5" fmla="*/ 1 h 68"/>
              <a:gd name="T6" fmla="*/ 0 w 45"/>
              <a:gd name="T7" fmla="*/ 1 h 68"/>
              <a:gd name="T8" fmla="*/ 0 w 45"/>
              <a:gd name="T9" fmla="*/ 1 h 68"/>
              <a:gd name="T10" fmla="*/ 0 w 45"/>
              <a:gd name="T11" fmla="*/ 1 h 68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45" h="68">
                <a:moveTo>
                  <a:pt x="45" y="0"/>
                </a:moveTo>
                <a:lnTo>
                  <a:pt x="29" y="3"/>
                </a:lnTo>
                <a:lnTo>
                  <a:pt x="17" y="12"/>
                </a:lnTo>
                <a:lnTo>
                  <a:pt x="8" y="29"/>
                </a:lnTo>
                <a:lnTo>
                  <a:pt x="0" y="48"/>
                </a:lnTo>
                <a:lnTo>
                  <a:pt x="0" y="68"/>
                </a:lnTo>
              </a:path>
            </a:pathLst>
          </a:cu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" name="Freeform 99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/>
          </xdr:cNvSpPr>
        </xdr:nvSpPr>
        <xdr:spPr bwMode="auto">
          <a:xfrm>
            <a:off x="3283" y="1631"/>
            <a:ext cx="22" cy="34"/>
          </a:xfrm>
          <a:custGeom>
            <a:avLst/>
            <a:gdLst>
              <a:gd name="T0" fmla="*/ 0 w 43"/>
              <a:gd name="T1" fmla="*/ 0 h 68"/>
              <a:gd name="T2" fmla="*/ 1 w 43"/>
              <a:gd name="T3" fmla="*/ 1 h 68"/>
              <a:gd name="T4" fmla="*/ 1 w 43"/>
              <a:gd name="T5" fmla="*/ 1 h 68"/>
              <a:gd name="T6" fmla="*/ 1 w 43"/>
              <a:gd name="T7" fmla="*/ 1 h 68"/>
              <a:gd name="T8" fmla="*/ 1 w 43"/>
              <a:gd name="T9" fmla="*/ 1 h 68"/>
              <a:gd name="T10" fmla="*/ 1 w 43"/>
              <a:gd name="T11" fmla="*/ 1 h 68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43" h="68">
                <a:moveTo>
                  <a:pt x="0" y="0"/>
                </a:moveTo>
                <a:lnTo>
                  <a:pt x="14" y="3"/>
                </a:lnTo>
                <a:lnTo>
                  <a:pt x="24" y="12"/>
                </a:lnTo>
                <a:lnTo>
                  <a:pt x="34" y="29"/>
                </a:lnTo>
                <a:lnTo>
                  <a:pt x="41" y="48"/>
                </a:lnTo>
                <a:lnTo>
                  <a:pt x="43" y="68"/>
                </a:lnTo>
              </a:path>
            </a:pathLst>
          </a:cu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" name="Freeform 100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/>
          </xdr:cNvSpPr>
        </xdr:nvSpPr>
        <xdr:spPr bwMode="auto">
          <a:xfrm>
            <a:off x="3261" y="1631"/>
            <a:ext cx="22" cy="34"/>
          </a:xfrm>
          <a:custGeom>
            <a:avLst/>
            <a:gdLst>
              <a:gd name="T0" fmla="*/ 0 w 45"/>
              <a:gd name="T1" fmla="*/ 0 h 68"/>
              <a:gd name="T2" fmla="*/ 0 w 45"/>
              <a:gd name="T3" fmla="*/ 1 h 68"/>
              <a:gd name="T4" fmla="*/ 0 w 45"/>
              <a:gd name="T5" fmla="*/ 1 h 68"/>
              <a:gd name="T6" fmla="*/ 0 w 45"/>
              <a:gd name="T7" fmla="*/ 1 h 68"/>
              <a:gd name="T8" fmla="*/ 0 w 45"/>
              <a:gd name="T9" fmla="*/ 1 h 68"/>
              <a:gd name="T10" fmla="*/ 0 w 45"/>
              <a:gd name="T11" fmla="*/ 1 h 68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45" h="68">
                <a:moveTo>
                  <a:pt x="45" y="0"/>
                </a:moveTo>
                <a:lnTo>
                  <a:pt x="31" y="3"/>
                </a:lnTo>
                <a:lnTo>
                  <a:pt x="19" y="12"/>
                </a:lnTo>
                <a:lnTo>
                  <a:pt x="9" y="29"/>
                </a:lnTo>
                <a:lnTo>
                  <a:pt x="2" y="48"/>
                </a:lnTo>
                <a:lnTo>
                  <a:pt x="0" y="68"/>
                </a:lnTo>
              </a:path>
            </a:pathLst>
          </a:cu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" name="Freeform 101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/>
          </xdr:cNvSpPr>
        </xdr:nvSpPr>
        <xdr:spPr bwMode="auto">
          <a:xfrm>
            <a:off x="3239" y="1631"/>
            <a:ext cx="22" cy="34"/>
          </a:xfrm>
          <a:custGeom>
            <a:avLst/>
            <a:gdLst>
              <a:gd name="T0" fmla="*/ 0 w 43"/>
              <a:gd name="T1" fmla="*/ 0 h 68"/>
              <a:gd name="T2" fmla="*/ 1 w 43"/>
              <a:gd name="T3" fmla="*/ 1 h 68"/>
              <a:gd name="T4" fmla="*/ 1 w 43"/>
              <a:gd name="T5" fmla="*/ 1 h 68"/>
              <a:gd name="T6" fmla="*/ 1 w 43"/>
              <a:gd name="T7" fmla="*/ 1 h 68"/>
              <a:gd name="T8" fmla="*/ 1 w 43"/>
              <a:gd name="T9" fmla="*/ 1 h 68"/>
              <a:gd name="T10" fmla="*/ 1 w 43"/>
              <a:gd name="T11" fmla="*/ 1 h 68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43" h="68">
                <a:moveTo>
                  <a:pt x="0" y="0"/>
                </a:moveTo>
                <a:lnTo>
                  <a:pt x="14" y="3"/>
                </a:lnTo>
                <a:lnTo>
                  <a:pt x="26" y="12"/>
                </a:lnTo>
                <a:lnTo>
                  <a:pt x="35" y="29"/>
                </a:lnTo>
                <a:lnTo>
                  <a:pt x="41" y="48"/>
                </a:lnTo>
                <a:lnTo>
                  <a:pt x="43" y="68"/>
                </a:lnTo>
              </a:path>
            </a:pathLst>
          </a:cu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" name="Freeform 10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/>
          </xdr:cNvSpPr>
        </xdr:nvSpPr>
        <xdr:spPr bwMode="auto">
          <a:xfrm>
            <a:off x="3216" y="1631"/>
            <a:ext cx="23" cy="34"/>
          </a:xfrm>
          <a:custGeom>
            <a:avLst/>
            <a:gdLst>
              <a:gd name="T0" fmla="*/ 1 w 45"/>
              <a:gd name="T1" fmla="*/ 0 h 68"/>
              <a:gd name="T2" fmla="*/ 1 w 45"/>
              <a:gd name="T3" fmla="*/ 1 h 68"/>
              <a:gd name="T4" fmla="*/ 1 w 45"/>
              <a:gd name="T5" fmla="*/ 1 h 68"/>
              <a:gd name="T6" fmla="*/ 1 w 45"/>
              <a:gd name="T7" fmla="*/ 1 h 68"/>
              <a:gd name="T8" fmla="*/ 1 w 45"/>
              <a:gd name="T9" fmla="*/ 1 h 68"/>
              <a:gd name="T10" fmla="*/ 0 w 45"/>
              <a:gd name="T11" fmla="*/ 1 h 68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45" h="68">
                <a:moveTo>
                  <a:pt x="45" y="0"/>
                </a:moveTo>
                <a:lnTo>
                  <a:pt x="31" y="3"/>
                </a:lnTo>
                <a:lnTo>
                  <a:pt x="19" y="12"/>
                </a:lnTo>
                <a:lnTo>
                  <a:pt x="9" y="29"/>
                </a:lnTo>
                <a:lnTo>
                  <a:pt x="2" y="48"/>
                </a:lnTo>
                <a:lnTo>
                  <a:pt x="0" y="68"/>
                </a:lnTo>
              </a:path>
            </a:pathLst>
          </a:cu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695325</xdr:colOff>
      <xdr:row>26</xdr:row>
      <xdr:rowOff>28575</xdr:rowOff>
    </xdr:from>
    <xdr:to>
      <xdr:col>9</xdr:col>
      <xdr:colOff>695325</xdr:colOff>
      <xdr:row>34</xdr:row>
      <xdr:rowOff>57150</xdr:rowOff>
    </xdr:to>
    <xdr:sp macro="" textlink="">
      <xdr:nvSpPr>
        <xdr:cNvPr id="11" name="Line 175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8324850" y="4619625"/>
          <a:ext cx="0" cy="1323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733425</xdr:colOff>
      <xdr:row>31</xdr:row>
      <xdr:rowOff>19050</xdr:rowOff>
    </xdr:from>
    <xdr:to>
      <xdr:col>10</xdr:col>
      <xdr:colOff>257175</xdr:colOff>
      <xdr:row>31</xdr:row>
      <xdr:rowOff>38100</xdr:rowOff>
    </xdr:to>
    <xdr:sp macro="" textlink="">
      <xdr:nvSpPr>
        <xdr:cNvPr id="12" name="Line 175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8362950" y="5419725"/>
          <a:ext cx="47625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685800</xdr:colOff>
      <xdr:row>35</xdr:row>
      <xdr:rowOff>47625</xdr:rowOff>
    </xdr:from>
    <xdr:to>
      <xdr:col>9</xdr:col>
      <xdr:colOff>695325</xdr:colOff>
      <xdr:row>41</xdr:row>
      <xdr:rowOff>123825</xdr:rowOff>
    </xdr:to>
    <xdr:sp macro="" textlink="">
      <xdr:nvSpPr>
        <xdr:cNvPr id="13" name="Line 177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8315325" y="6096000"/>
          <a:ext cx="9525" cy="104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523875</xdr:colOff>
      <xdr:row>22</xdr:row>
      <xdr:rowOff>19050</xdr:rowOff>
    </xdr:from>
    <xdr:to>
      <xdr:col>14</xdr:col>
      <xdr:colOff>514350</xdr:colOff>
      <xdr:row>22</xdr:row>
      <xdr:rowOff>47625</xdr:rowOff>
    </xdr:to>
    <xdr:sp macro="" textlink="">
      <xdr:nvSpPr>
        <xdr:cNvPr id="14" name="Line 177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10106025" y="3933825"/>
          <a:ext cx="2124075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523875</xdr:colOff>
      <xdr:row>21</xdr:row>
      <xdr:rowOff>142875</xdr:rowOff>
    </xdr:from>
    <xdr:to>
      <xdr:col>15</xdr:col>
      <xdr:colOff>47625</xdr:colOff>
      <xdr:row>22</xdr:row>
      <xdr:rowOff>123825</xdr:rowOff>
    </xdr:to>
    <xdr:sp macro="" textlink="">
      <xdr:nvSpPr>
        <xdr:cNvPr id="15" name="Freeform 1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/>
        </xdr:cNvSpPr>
      </xdr:nvSpPr>
      <xdr:spPr bwMode="auto">
        <a:xfrm>
          <a:off x="12239625" y="3895725"/>
          <a:ext cx="133350" cy="142875"/>
        </a:xfrm>
        <a:custGeom>
          <a:avLst/>
          <a:gdLst>
            <a:gd name="T0" fmla="*/ 0 w 68"/>
            <a:gd name="T1" fmla="*/ 2147483647 h 66"/>
            <a:gd name="T2" fmla="*/ 2147483647 w 68"/>
            <a:gd name="T3" fmla="*/ 2147483647 h 66"/>
            <a:gd name="T4" fmla="*/ 0 w 68"/>
            <a:gd name="T5" fmla="*/ 0 h 66"/>
            <a:gd name="T6" fmla="*/ 0 w 68"/>
            <a:gd name="T7" fmla="*/ 2147483647 h 66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8" h="66">
              <a:moveTo>
                <a:pt x="0" y="66"/>
              </a:moveTo>
              <a:lnTo>
                <a:pt x="68" y="34"/>
              </a:lnTo>
              <a:lnTo>
                <a:pt x="0" y="0"/>
              </a:lnTo>
              <a:lnTo>
                <a:pt x="0" y="66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447675</xdr:colOff>
      <xdr:row>22</xdr:row>
      <xdr:rowOff>38100</xdr:rowOff>
    </xdr:from>
    <xdr:to>
      <xdr:col>13</xdr:col>
      <xdr:colOff>447675</xdr:colOff>
      <xdr:row>26</xdr:row>
      <xdr:rowOff>142875</xdr:rowOff>
    </xdr:to>
    <xdr:sp macro="" textlink="">
      <xdr:nvSpPr>
        <xdr:cNvPr id="16" name="Line 177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11553825" y="3952875"/>
          <a:ext cx="0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533400</xdr:colOff>
      <xdr:row>35</xdr:row>
      <xdr:rowOff>47625</xdr:rowOff>
    </xdr:from>
    <xdr:to>
      <xdr:col>9</xdr:col>
      <xdr:colOff>247650</xdr:colOff>
      <xdr:row>35</xdr:row>
      <xdr:rowOff>47625</xdr:rowOff>
    </xdr:to>
    <xdr:sp macro="" textlink="">
      <xdr:nvSpPr>
        <xdr:cNvPr id="17" name="Line 178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7553325" y="6096000"/>
          <a:ext cx="323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638175</xdr:colOff>
      <xdr:row>30</xdr:row>
      <xdr:rowOff>104775</xdr:rowOff>
    </xdr:from>
    <xdr:to>
      <xdr:col>9</xdr:col>
      <xdr:colOff>762000</xdr:colOff>
      <xdr:row>31</xdr:row>
      <xdr:rowOff>85725</xdr:rowOff>
    </xdr:to>
    <xdr:sp macro="" textlink="">
      <xdr:nvSpPr>
        <xdr:cNvPr id="18" name="Oval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8267700" y="5343525"/>
          <a:ext cx="123825" cy="142875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504825</xdr:colOff>
      <xdr:row>25</xdr:row>
      <xdr:rowOff>19050</xdr:rowOff>
    </xdr:from>
    <xdr:to>
      <xdr:col>16</xdr:col>
      <xdr:colOff>314325</xdr:colOff>
      <xdr:row>30</xdr:row>
      <xdr:rowOff>0</xdr:rowOff>
    </xdr:to>
    <xdr:sp macro="" textlink="">
      <xdr:nvSpPr>
        <xdr:cNvPr id="19" name="Rectangle 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12220575" y="4419600"/>
          <a:ext cx="10287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10112</xdr:colOff>
      <xdr:row>20</xdr:row>
      <xdr:rowOff>16888</xdr:rowOff>
    </xdr:from>
    <xdr:to>
      <xdr:col>14</xdr:col>
      <xdr:colOff>556874</xdr:colOff>
      <xdr:row>22</xdr:row>
      <xdr:rowOff>27474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11725862" y="3607813"/>
          <a:ext cx="546762" cy="334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eaLnBrk="1" hangingPunct="1"/>
          <a:r>
            <a:rPr lang="en-US" altLang="en-US" b="0">
              <a:solidFill>
                <a:srgbClr val="000000"/>
              </a:solidFill>
              <a:latin typeface="Arial" panose="020B0604020202020204" pitchFamily="34" charset="0"/>
            </a:rPr>
            <a:t>Vout</a:t>
          </a:r>
          <a:endParaRPr lang="en-US" altLang="en-US" b="0">
            <a:latin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743912</xdr:colOff>
      <xdr:row>25</xdr:row>
      <xdr:rowOff>74866</xdr:rowOff>
    </xdr:from>
    <xdr:to>
      <xdr:col>10</xdr:col>
      <xdr:colOff>289735</xdr:colOff>
      <xdr:row>27</xdr:row>
      <xdr:rowOff>15240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8373437" y="4475416"/>
          <a:ext cx="498323" cy="292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hangingPunct="1"/>
          <a:r>
            <a:rPr lang="en-US" altLang="en-US" b="0">
              <a:solidFill>
                <a:srgbClr val="000000"/>
              </a:solidFill>
              <a:latin typeface="Arial" panose="020B0604020202020204" pitchFamily="34" charset="0"/>
            </a:rPr>
            <a:t>Q1</a:t>
          </a:r>
          <a:endParaRPr lang="en-US" altLang="en-US" b="0">
            <a:latin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27417</xdr:colOff>
      <xdr:row>34</xdr:row>
      <xdr:rowOff>56370</xdr:rowOff>
    </xdr:from>
    <xdr:to>
      <xdr:col>11</xdr:col>
      <xdr:colOff>511988</xdr:colOff>
      <xdr:row>36</xdr:row>
      <xdr:rowOff>64477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9609567" y="5942820"/>
          <a:ext cx="484571" cy="331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hangingPunct="1"/>
          <a:r>
            <a:rPr lang="en-US" altLang="en-US" b="0">
              <a:solidFill>
                <a:srgbClr val="000000"/>
              </a:solidFill>
              <a:latin typeface="Arial" panose="020B0604020202020204" pitchFamily="34" charset="0"/>
            </a:rPr>
            <a:t>Q4</a:t>
          </a:r>
          <a:endParaRPr lang="en-US" altLang="en-US" b="0">
            <a:latin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44646</xdr:colOff>
      <xdr:row>26</xdr:row>
      <xdr:rowOff>64633</xdr:rowOff>
    </xdr:from>
    <xdr:to>
      <xdr:col>15</xdr:col>
      <xdr:colOff>14002</xdr:colOff>
      <xdr:row>28</xdr:row>
      <xdr:rowOff>76977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11760396" y="4655683"/>
          <a:ext cx="578956" cy="336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eaLnBrk="1" hangingPunct="1"/>
          <a:r>
            <a:rPr lang="en-US" altLang="en-US" b="0">
              <a:solidFill>
                <a:srgbClr val="000000"/>
              </a:solidFill>
              <a:latin typeface="Arial" panose="020B0604020202020204" pitchFamily="34" charset="0"/>
            </a:rPr>
            <a:t>Cout</a:t>
          </a:r>
          <a:endParaRPr lang="en-US" altLang="en-US" b="0">
            <a:latin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342900</xdr:colOff>
      <xdr:row>34</xdr:row>
      <xdr:rowOff>57150</xdr:rowOff>
    </xdr:from>
    <xdr:to>
      <xdr:col>9</xdr:col>
      <xdr:colOff>685800</xdr:colOff>
      <xdr:row>34</xdr:row>
      <xdr:rowOff>66675</xdr:rowOff>
    </xdr:to>
    <xdr:sp macro="" textlink="">
      <xdr:nvSpPr>
        <xdr:cNvPr id="24" name="Line 191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 flipH="1">
          <a:off x="7972425" y="5943600"/>
          <a:ext cx="3429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342900</xdr:colOff>
      <xdr:row>36</xdr:row>
      <xdr:rowOff>38100</xdr:rowOff>
    </xdr:from>
    <xdr:to>
      <xdr:col>9</xdr:col>
      <xdr:colOff>685800</xdr:colOff>
      <xdr:row>36</xdr:row>
      <xdr:rowOff>47625</xdr:rowOff>
    </xdr:to>
    <xdr:sp macro="" textlink="">
      <xdr:nvSpPr>
        <xdr:cNvPr id="25" name="Line 191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 flipH="1">
          <a:off x="7972425" y="6248400"/>
          <a:ext cx="3429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342900</xdr:colOff>
      <xdr:row>34</xdr:row>
      <xdr:rowOff>133350</xdr:rowOff>
    </xdr:from>
    <xdr:to>
      <xdr:col>9</xdr:col>
      <xdr:colOff>466725</xdr:colOff>
      <xdr:row>35</xdr:row>
      <xdr:rowOff>123825</xdr:rowOff>
    </xdr:to>
    <xdr:sp macro="" textlink="">
      <xdr:nvSpPr>
        <xdr:cNvPr id="26" name="Freeform 2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/>
        </xdr:cNvSpPr>
      </xdr:nvSpPr>
      <xdr:spPr bwMode="auto">
        <a:xfrm>
          <a:off x="7972425" y="6019800"/>
          <a:ext cx="123825" cy="152400"/>
        </a:xfrm>
        <a:custGeom>
          <a:avLst/>
          <a:gdLst>
            <a:gd name="T0" fmla="*/ 2147483647 w 59"/>
            <a:gd name="T1" fmla="*/ 0 h 60"/>
            <a:gd name="T2" fmla="*/ 0 w 59"/>
            <a:gd name="T3" fmla="*/ 2147483647 h 60"/>
            <a:gd name="T4" fmla="*/ 2147483647 w 59"/>
            <a:gd name="T5" fmla="*/ 2147483647 h 60"/>
            <a:gd name="T6" fmla="*/ 2147483647 w 59"/>
            <a:gd name="T7" fmla="*/ 0 h 60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9" h="60">
              <a:moveTo>
                <a:pt x="59" y="0"/>
              </a:moveTo>
              <a:lnTo>
                <a:pt x="0" y="29"/>
              </a:lnTo>
              <a:lnTo>
                <a:pt x="59" y="60"/>
              </a:lnTo>
              <a:lnTo>
                <a:pt x="59" y="0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247650</xdr:colOff>
      <xdr:row>33</xdr:row>
      <xdr:rowOff>161925</xdr:rowOff>
    </xdr:from>
    <xdr:to>
      <xdr:col>9</xdr:col>
      <xdr:colOff>257175</xdr:colOff>
      <xdr:row>36</xdr:row>
      <xdr:rowOff>95250</xdr:rowOff>
    </xdr:to>
    <xdr:sp macro="" textlink="">
      <xdr:nvSpPr>
        <xdr:cNvPr id="27" name="Line 192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7877175" y="5886450"/>
          <a:ext cx="9525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333375</xdr:colOff>
      <xdr:row>33</xdr:row>
      <xdr:rowOff>104775</xdr:rowOff>
    </xdr:from>
    <xdr:to>
      <xdr:col>9</xdr:col>
      <xdr:colOff>333375</xdr:colOff>
      <xdr:row>36</xdr:row>
      <xdr:rowOff>142875</xdr:rowOff>
    </xdr:to>
    <xdr:sp macro="" textlink="">
      <xdr:nvSpPr>
        <xdr:cNvPr id="28" name="Line 192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7962900" y="5829300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35</xdr:row>
      <xdr:rowOff>47625</xdr:rowOff>
    </xdr:from>
    <xdr:to>
      <xdr:col>9</xdr:col>
      <xdr:colOff>695325</xdr:colOff>
      <xdr:row>35</xdr:row>
      <xdr:rowOff>47625</xdr:rowOff>
    </xdr:to>
    <xdr:sp macro="" textlink="">
      <xdr:nvSpPr>
        <xdr:cNvPr id="29" name="Line 192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8039100" y="6096000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323850</xdr:colOff>
      <xdr:row>31</xdr:row>
      <xdr:rowOff>123825</xdr:rowOff>
    </xdr:from>
    <xdr:to>
      <xdr:col>13</xdr:col>
      <xdr:colOff>561975</xdr:colOff>
      <xdr:row>33</xdr:row>
      <xdr:rowOff>19050</xdr:rowOff>
    </xdr:to>
    <xdr:sp macro="" textlink="">
      <xdr:nvSpPr>
        <xdr:cNvPr id="30" name="Freeform 3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/>
        </xdr:cNvSpPr>
      </xdr:nvSpPr>
      <xdr:spPr bwMode="auto">
        <a:xfrm>
          <a:off x="11430000" y="5524500"/>
          <a:ext cx="238125" cy="219075"/>
        </a:xfrm>
        <a:custGeom>
          <a:avLst/>
          <a:gdLst>
            <a:gd name="T0" fmla="*/ 2147483647 w 108"/>
            <a:gd name="T1" fmla="*/ 2147483647 h 83"/>
            <a:gd name="T2" fmla="*/ 0 w 108"/>
            <a:gd name="T3" fmla="*/ 0 h 83"/>
            <a:gd name="T4" fmla="*/ 2147483647 w 108"/>
            <a:gd name="T5" fmla="*/ 0 h 83"/>
            <a:gd name="T6" fmla="*/ 2147483647 w 108"/>
            <a:gd name="T7" fmla="*/ 2147483647 h 83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108" h="83">
              <a:moveTo>
                <a:pt x="54" y="83"/>
              </a:moveTo>
              <a:lnTo>
                <a:pt x="0" y="0"/>
              </a:lnTo>
              <a:lnTo>
                <a:pt x="108" y="0"/>
              </a:lnTo>
              <a:lnTo>
                <a:pt x="54" y="83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9</xdr:col>
      <xdr:colOff>571500</xdr:colOff>
      <xdr:row>41</xdr:row>
      <xdr:rowOff>123825</xdr:rowOff>
    </xdr:from>
    <xdr:to>
      <xdr:col>9</xdr:col>
      <xdr:colOff>800100</xdr:colOff>
      <xdr:row>42</xdr:row>
      <xdr:rowOff>161925</xdr:rowOff>
    </xdr:to>
    <xdr:sp macro="" textlink="">
      <xdr:nvSpPr>
        <xdr:cNvPr id="31" name="Freeform 3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/>
        </xdr:cNvSpPr>
      </xdr:nvSpPr>
      <xdr:spPr bwMode="auto">
        <a:xfrm>
          <a:off x="8201025" y="7143750"/>
          <a:ext cx="228600" cy="200025"/>
        </a:xfrm>
        <a:custGeom>
          <a:avLst/>
          <a:gdLst>
            <a:gd name="T0" fmla="*/ 2147483647 w 108"/>
            <a:gd name="T1" fmla="*/ 2147483647 h 84"/>
            <a:gd name="T2" fmla="*/ 0 w 108"/>
            <a:gd name="T3" fmla="*/ 0 h 84"/>
            <a:gd name="T4" fmla="*/ 2147483647 w 108"/>
            <a:gd name="T5" fmla="*/ 0 h 84"/>
            <a:gd name="T6" fmla="*/ 2147483647 w 108"/>
            <a:gd name="T7" fmla="*/ 2147483647 h 8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108" h="84">
              <a:moveTo>
                <a:pt x="54" y="84"/>
              </a:moveTo>
              <a:lnTo>
                <a:pt x="0" y="0"/>
              </a:lnTo>
              <a:lnTo>
                <a:pt x="108" y="0"/>
              </a:lnTo>
              <a:lnTo>
                <a:pt x="54" y="84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171450</xdr:colOff>
      <xdr:row>25</xdr:row>
      <xdr:rowOff>9525</xdr:rowOff>
    </xdr:from>
    <xdr:to>
      <xdr:col>9</xdr:col>
      <xdr:colOff>704850</xdr:colOff>
      <xdr:row>32</xdr:row>
      <xdr:rowOff>123825</xdr:rowOff>
    </xdr:to>
    <xdr:grpSp>
      <xdr:nvGrpSpPr>
        <xdr:cNvPr id="32" name="Group 3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>
          <a:grpSpLocks/>
        </xdr:cNvGrpSpPr>
      </xdr:nvGrpSpPr>
      <xdr:grpSpPr bwMode="auto">
        <a:xfrm>
          <a:off x="7482840" y="4450080"/>
          <a:ext cx="1162050" cy="1276350"/>
          <a:chOff x="5578871" y="2630897"/>
          <a:chExt cx="422474" cy="716172"/>
        </a:xfrm>
      </xdr:grpSpPr>
      <xdr:sp macro="" textlink="">
        <xdr:nvSpPr>
          <xdr:cNvPr id="33" name="Line 1746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793029" y="2679136"/>
            <a:ext cx="202475" cy="185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Line 1747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793029" y="2820145"/>
            <a:ext cx="202475" cy="185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Freeform 79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5793029" y="2716244"/>
            <a:ext cx="72034" cy="66794"/>
          </a:xfrm>
          <a:custGeom>
            <a:avLst/>
            <a:gdLst>
              <a:gd name="T0" fmla="*/ 2147483647 w 58"/>
              <a:gd name="T1" fmla="*/ 0 h 60"/>
              <a:gd name="T2" fmla="*/ 0 w 58"/>
              <a:gd name="T3" fmla="*/ 2147483647 h 60"/>
              <a:gd name="T4" fmla="*/ 2147483647 w 58"/>
              <a:gd name="T5" fmla="*/ 2147483647 h 60"/>
              <a:gd name="T6" fmla="*/ 2147483647 w 58"/>
              <a:gd name="T7" fmla="*/ 0 h 60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8" h="60">
                <a:moveTo>
                  <a:pt x="58" y="0"/>
                </a:moveTo>
                <a:lnTo>
                  <a:pt x="0" y="29"/>
                </a:lnTo>
                <a:lnTo>
                  <a:pt x="58" y="60"/>
                </a:lnTo>
                <a:lnTo>
                  <a:pt x="58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6" name="Line 1749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>
            <a:spLocks noChangeShapeType="1"/>
          </xdr:cNvSpPr>
        </xdr:nvSpPr>
        <xdr:spPr bwMode="auto">
          <a:xfrm>
            <a:off x="5742411" y="2653162"/>
            <a:ext cx="1946" cy="18924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1750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 noChangeShapeType="1"/>
          </xdr:cNvSpPr>
        </xdr:nvSpPr>
        <xdr:spPr bwMode="auto">
          <a:xfrm>
            <a:off x="5787189" y="2630897"/>
            <a:ext cx="1946" cy="23748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Line 1751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>
            <a:spLocks noChangeShapeType="1"/>
          </xdr:cNvSpPr>
        </xdr:nvSpPr>
        <xdr:spPr bwMode="auto">
          <a:xfrm>
            <a:off x="5837807" y="2747786"/>
            <a:ext cx="163538" cy="185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" name="Line 1961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793029" y="2679136"/>
            <a:ext cx="204422" cy="185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" name="Line 1962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793029" y="2820145"/>
            <a:ext cx="204422" cy="185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" name="Freeform 85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5793029" y="2714389"/>
            <a:ext cx="72034" cy="68648"/>
          </a:xfrm>
          <a:custGeom>
            <a:avLst/>
            <a:gdLst>
              <a:gd name="T0" fmla="*/ 2147483647 w 58"/>
              <a:gd name="T1" fmla="*/ 0 h 60"/>
              <a:gd name="T2" fmla="*/ 0 w 58"/>
              <a:gd name="T3" fmla="*/ 2147483647 h 60"/>
              <a:gd name="T4" fmla="*/ 2147483647 w 58"/>
              <a:gd name="T5" fmla="*/ 2147483647 h 60"/>
              <a:gd name="T6" fmla="*/ 2147483647 w 58"/>
              <a:gd name="T7" fmla="*/ 0 h 60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8" h="60">
                <a:moveTo>
                  <a:pt x="58" y="0"/>
                </a:moveTo>
                <a:lnTo>
                  <a:pt x="0" y="29"/>
                </a:lnTo>
                <a:lnTo>
                  <a:pt x="58" y="60"/>
                </a:lnTo>
                <a:lnTo>
                  <a:pt x="58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2" name="Line 1964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>
            <a:spLocks noChangeShapeType="1"/>
          </xdr:cNvSpPr>
        </xdr:nvSpPr>
        <xdr:spPr bwMode="auto">
          <a:xfrm>
            <a:off x="5742411" y="2653162"/>
            <a:ext cx="1946" cy="18924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" name="Line 1965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 noChangeShapeType="1"/>
          </xdr:cNvSpPr>
        </xdr:nvSpPr>
        <xdr:spPr bwMode="auto">
          <a:xfrm>
            <a:off x="5785241" y="2630897"/>
            <a:ext cx="3894" cy="23748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" name="Line 1966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>
            <a:spLocks noChangeShapeType="1"/>
          </xdr:cNvSpPr>
        </xdr:nvSpPr>
        <xdr:spPr bwMode="auto">
          <a:xfrm>
            <a:off x="5837807" y="2747786"/>
            <a:ext cx="163538" cy="185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" name="Line 1967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793029" y="2679136"/>
            <a:ext cx="204422" cy="185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Line 1968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793029" y="2820145"/>
            <a:ext cx="204422" cy="185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" name="Freeform 91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>
            <a:spLocks/>
          </xdr:cNvSpPr>
        </xdr:nvSpPr>
        <xdr:spPr bwMode="auto">
          <a:xfrm>
            <a:off x="5793029" y="2714389"/>
            <a:ext cx="72034" cy="68648"/>
          </a:xfrm>
          <a:custGeom>
            <a:avLst/>
            <a:gdLst>
              <a:gd name="T0" fmla="*/ 2147483647 w 58"/>
              <a:gd name="T1" fmla="*/ 0 h 60"/>
              <a:gd name="T2" fmla="*/ 0 w 58"/>
              <a:gd name="T3" fmla="*/ 2147483647 h 60"/>
              <a:gd name="T4" fmla="*/ 2147483647 w 58"/>
              <a:gd name="T5" fmla="*/ 2147483647 h 60"/>
              <a:gd name="T6" fmla="*/ 2147483647 w 58"/>
              <a:gd name="T7" fmla="*/ 0 h 60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8" h="60">
                <a:moveTo>
                  <a:pt x="58" y="0"/>
                </a:moveTo>
                <a:lnTo>
                  <a:pt x="0" y="29"/>
                </a:lnTo>
                <a:lnTo>
                  <a:pt x="58" y="60"/>
                </a:lnTo>
                <a:lnTo>
                  <a:pt x="58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8" name="Line 1970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ShapeType="1"/>
          </xdr:cNvSpPr>
        </xdr:nvSpPr>
        <xdr:spPr bwMode="auto">
          <a:xfrm>
            <a:off x="5742411" y="2653162"/>
            <a:ext cx="1946" cy="18924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" name="Line 1971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ShapeType="1"/>
          </xdr:cNvSpPr>
        </xdr:nvSpPr>
        <xdr:spPr bwMode="auto">
          <a:xfrm>
            <a:off x="5785241" y="2630897"/>
            <a:ext cx="3894" cy="23748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Line 1972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ShapeType="1"/>
          </xdr:cNvSpPr>
        </xdr:nvSpPr>
        <xdr:spPr bwMode="auto">
          <a:xfrm>
            <a:off x="5837807" y="2747786"/>
            <a:ext cx="163538" cy="185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Line 1996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ShapeType="1"/>
          </xdr:cNvSpPr>
        </xdr:nvSpPr>
        <xdr:spPr bwMode="auto">
          <a:xfrm>
            <a:off x="5995505" y="2747786"/>
            <a:ext cx="1946" cy="59928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" name="Line 1997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>
            <a:spLocks noChangeShapeType="1"/>
          </xdr:cNvSpPr>
        </xdr:nvSpPr>
        <xdr:spPr bwMode="auto">
          <a:xfrm>
            <a:off x="5578871" y="2747786"/>
            <a:ext cx="157700" cy="185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685800</xdr:colOff>
      <xdr:row>35</xdr:row>
      <xdr:rowOff>47625</xdr:rowOff>
    </xdr:from>
    <xdr:to>
      <xdr:col>9</xdr:col>
      <xdr:colOff>695325</xdr:colOff>
      <xdr:row>41</xdr:row>
      <xdr:rowOff>123825</xdr:rowOff>
    </xdr:to>
    <xdr:sp macro="" textlink="">
      <xdr:nvSpPr>
        <xdr:cNvPr id="53" name="Line 200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 bwMode="auto">
        <a:xfrm>
          <a:off x="8315325" y="6096000"/>
          <a:ext cx="9525" cy="104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285750</xdr:colOff>
      <xdr:row>27</xdr:row>
      <xdr:rowOff>0</xdr:rowOff>
    </xdr:from>
    <xdr:to>
      <xdr:col>13</xdr:col>
      <xdr:colOff>600075</xdr:colOff>
      <xdr:row>27</xdr:row>
      <xdr:rowOff>9525</xdr:rowOff>
    </xdr:to>
    <xdr:sp macro="" textlink="">
      <xdr:nvSpPr>
        <xdr:cNvPr id="54" name="Line 2005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ShapeType="1"/>
        </xdr:cNvSpPr>
      </xdr:nvSpPr>
      <xdr:spPr bwMode="auto">
        <a:xfrm>
          <a:off x="11391900" y="4752975"/>
          <a:ext cx="3143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285750</xdr:colOff>
      <xdr:row>27</xdr:row>
      <xdr:rowOff>123825</xdr:rowOff>
    </xdr:from>
    <xdr:to>
      <xdr:col>13</xdr:col>
      <xdr:colOff>600075</xdr:colOff>
      <xdr:row>27</xdr:row>
      <xdr:rowOff>133350</xdr:rowOff>
    </xdr:to>
    <xdr:sp macro="" textlink="">
      <xdr:nvSpPr>
        <xdr:cNvPr id="55" name="Line 200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 bwMode="auto">
        <a:xfrm>
          <a:off x="11391900" y="4876800"/>
          <a:ext cx="3143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438150</xdr:colOff>
      <xdr:row>27</xdr:row>
      <xdr:rowOff>133350</xdr:rowOff>
    </xdr:from>
    <xdr:to>
      <xdr:col>13</xdr:col>
      <xdr:colOff>447675</xdr:colOff>
      <xdr:row>31</xdr:row>
      <xdr:rowOff>133350</xdr:rowOff>
    </xdr:to>
    <xdr:sp macro="" textlink="">
      <xdr:nvSpPr>
        <xdr:cNvPr id="56" name="Line 2007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 bwMode="auto">
        <a:xfrm>
          <a:off x="11544300" y="4886325"/>
          <a:ext cx="95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638175</xdr:colOff>
      <xdr:row>30</xdr:row>
      <xdr:rowOff>104775</xdr:rowOff>
    </xdr:from>
    <xdr:to>
      <xdr:col>9</xdr:col>
      <xdr:colOff>762000</xdr:colOff>
      <xdr:row>31</xdr:row>
      <xdr:rowOff>85725</xdr:rowOff>
    </xdr:to>
    <xdr:sp macro="" textlink="">
      <xdr:nvSpPr>
        <xdr:cNvPr id="57" name="Oval 40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rrowheads="1"/>
        </xdr:cNvSpPr>
      </xdr:nvSpPr>
      <xdr:spPr bwMode="auto">
        <a:xfrm>
          <a:off x="8267700" y="5343525"/>
          <a:ext cx="123825" cy="142875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485775</xdr:colOff>
      <xdr:row>25</xdr:row>
      <xdr:rowOff>190500</xdr:rowOff>
    </xdr:from>
    <xdr:to>
      <xdr:col>14</xdr:col>
      <xdr:colOff>285750</xdr:colOff>
      <xdr:row>31</xdr:row>
      <xdr:rowOff>9525</xdr:rowOff>
    </xdr:to>
    <xdr:sp macro="" textlink="">
      <xdr:nvSpPr>
        <xdr:cNvPr id="58" name="Rectangle 4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rrowheads="1"/>
        </xdr:cNvSpPr>
      </xdr:nvSpPr>
      <xdr:spPr bwMode="auto">
        <a:xfrm>
          <a:off x="10982325" y="4591050"/>
          <a:ext cx="1019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342900</xdr:colOff>
      <xdr:row>34</xdr:row>
      <xdr:rowOff>57150</xdr:rowOff>
    </xdr:from>
    <xdr:to>
      <xdr:col>9</xdr:col>
      <xdr:colOff>695325</xdr:colOff>
      <xdr:row>34</xdr:row>
      <xdr:rowOff>66675</xdr:rowOff>
    </xdr:to>
    <xdr:sp macro="" textlink="">
      <xdr:nvSpPr>
        <xdr:cNvPr id="59" name="Line 2076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 bwMode="auto">
        <a:xfrm flipH="1">
          <a:off x="7972425" y="5943600"/>
          <a:ext cx="3524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342900</xdr:colOff>
      <xdr:row>36</xdr:row>
      <xdr:rowOff>38100</xdr:rowOff>
    </xdr:from>
    <xdr:to>
      <xdr:col>9</xdr:col>
      <xdr:colOff>695325</xdr:colOff>
      <xdr:row>36</xdr:row>
      <xdr:rowOff>47625</xdr:rowOff>
    </xdr:to>
    <xdr:sp macro="" textlink="">
      <xdr:nvSpPr>
        <xdr:cNvPr id="60" name="Line 2077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ShapeType="1"/>
        </xdr:cNvSpPr>
      </xdr:nvSpPr>
      <xdr:spPr bwMode="auto">
        <a:xfrm flipH="1">
          <a:off x="7972425" y="6248400"/>
          <a:ext cx="3524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342900</xdr:colOff>
      <xdr:row>34</xdr:row>
      <xdr:rowOff>133350</xdr:rowOff>
    </xdr:from>
    <xdr:to>
      <xdr:col>9</xdr:col>
      <xdr:colOff>466725</xdr:colOff>
      <xdr:row>35</xdr:row>
      <xdr:rowOff>123825</xdr:rowOff>
    </xdr:to>
    <xdr:sp macro="" textlink="">
      <xdr:nvSpPr>
        <xdr:cNvPr id="61" name="Freeform 4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/>
        </xdr:cNvSpPr>
      </xdr:nvSpPr>
      <xdr:spPr bwMode="auto">
        <a:xfrm>
          <a:off x="7972425" y="6019800"/>
          <a:ext cx="123825" cy="152400"/>
        </a:xfrm>
        <a:custGeom>
          <a:avLst/>
          <a:gdLst>
            <a:gd name="T0" fmla="*/ 2147483647 w 59"/>
            <a:gd name="T1" fmla="*/ 0 h 60"/>
            <a:gd name="T2" fmla="*/ 0 w 59"/>
            <a:gd name="T3" fmla="*/ 2147483647 h 60"/>
            <a:gd name="T4" fmla="*/ 2147483647 w 59"/>
            <a:gd name="T5" fmla="*/ 2147483647 h 60"/>
            <a:gd name="T6" fmla="*/ 2147483647 w 59"/>
            <a:gd name="T7" fmla="*/ 0 h 60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9" h="60">
              <a:moveTo>
                <a:pt x="59" y="0"/>
              </a:moveTo>
              <a:lnTo>
                <a:pt x="0" y="29"/>
              </a:lnTo>
              <a:lnTo>
                <a:pt x="59" y="60"/>
              </a:lnTo>
              <a:lnTo>
                <a:pt x="59" y="0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247650</xdr:colOff>
      <xdr:row>34</xdr:row>
      <xdr:rowOff>0</xdr:rowOff>
    </xdr:from>
    <xdr:to>
      <xdr:col>9</xdr:col>
      <xdr:colOff>257175</xdr:colOff>
      <xdr:row>36</xdr:row>
      <xdr:rowOff>95250</xdr:rowOff>
    </xdr:to>
    <xdr:sp macro="" textlink="">
      <xdr:nvSpPr>
        <xdr:cNvPr id="62" name="Line 2079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 bwMode="auto">
        <a:xfrm>
          <a:off x="7877175" y="5886450"/>
          <a:ext cx="9525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333375</xdr:colOff>
      <xdr:row>33</xdr:row>
      <xdr:rowOff>104775</xdr:rowOff>
    </xdr:from>
    <xdr:to>
      <xdr:col>9</xdr:col>
      <xdr:colOff>333375</xdr:colOff>
      <xdr:row>36</xdr:row>
      <xdr:rowOff>142875</xdr:rowOff>
    </xdr:to>
    <xdr:sp macro="" textlink="">
      <xdr:nvSpPr>
        <xdr:cNvPr id="63" name="Line 2080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ShapeType="1"/>
        </xdr:cNvSpPr>
      </xdr:nvSpPr>
      <xdr:spPr bwMode="auto">
        <a:xfrm>
          <a:off x="7962900" y="5829300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35</xdr:row>
      <xdr:rowOff>47625</xdr:rowOff>
    </xdr:from>
    <xdr:to>
      <xdr:col>9</xdr:col>
      <xdr:colOff>695325</xdr:colOff>
      <xdr:row>35</xdr:row>
      <xdr:rowOff>47625</xdr:rowOff>
    </xdr:to>
    <xdr:sp macro="" textlink="">
      <xdr:nvSpPr>
        <xdr:cNvPr id="64" name="Line 208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 bwMode="auto">
        <a:xfrm>
          <a:off x="8039100" y="6096000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342900</xdr:colOff>
      <xdr:row>34</xdr:row>
      <xdr:rowOff>57150</xdr:rowOff>
    </xdr:from>
    <xdr:to>
      <xdr:col>9</xdr:col>
      <xdr:colOff>695325</xdr:colOff>
      <xdr:row>34</xdr:row>
      <xdr:rowOff>66675</xdr:rowOff>
    </xdr:to>
    <xdr:sp macro="" textlink="">
      <xdr:nvSpPr>
        <xdr:cNvPr id="65" name="Line 208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 bwMode="auto">
        <a:xfrm flipH="1">
          <a:off x="7972425" y="5943600"/>
          <a:ext cx="3524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342900</xdr:colOff>
      <xdr:row>36</xdr:row>
      <xdr:rowOff>38100</xdr:rowOff>
    </xdr:from>
    <xdr:to>
      <xdr:col>9</xdr:col>
      <xdr:colOff>695325</xdr:colOff>
      <xdr:row>36</xdr:row>
      <xdr:rowOff>47625</xdr:rowOff>
    </xdr:to>
    <xdr:sp macro="" textlink="">
      <xdr:nvSpPr>
        <xdr:cNvPr id="66" name="Line 208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 flipH="1">
          <a:off x="7972425" y="6248400"/>
          <a:ext cx="3524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342900</xdr:colOff>
      <xdr:row>34</xdr:row>
      <xdr:rowOff>133350</xdr:rowOff>
    </xdr:from>
    <xdr:to>
      <xdr:col>9</xdr:col>
      <xdr:colOff>466725</xdr:colOff>
      <xdr:row>35</xdr:row>
      <xdr:rowOff>123825</xdr:rowOff>
    </xdr:to>
    <xdr:sp macro="" textlink="">
      <xdr:nvSpPr>
        <xdr:cNvPr id="67" name="Freeform 50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/>
        </xdr:cNvSpPr>
      </xdr:nvSpPr>
      <xdr:spPr bwMode="auto">
        <a:xfrm>
          <a:off x="7972425" y="6019800"/>
          <a:ext cx="123825" cy="152400"/>
        </a:xfrm>
        <a:custGeom>
          <a:avLst/>
          <a:gdLst>
            <a:gd name="T0" fmla="*/ 2147483647 w 59"/>
            <a:gd name="T1" fmla="*/ 0 h 60"/>
            <a:gd name="T2" fmla="*/ 0 w 59"/>
            <a:gd name="T3" fmla="*/ 2147483647 h 60"/>
            <a:gd name="T4" fmla="*/ 2147483647 w 59"/>
            <a:gd name="T5" fmla="*/ 2147483647 h 60"/>
            <a:gd name="T6" fmla="*/ 2147483647 w 59"/>
            <a:gd name="T7" fmla="*/ 0 h 60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9" h="60">
              <a:moveTo>
                <a:pt x="59" y="0"/>
              </a:moveTo>
              <a:lnTo>
                <a:pt x="0" y="29"/>
              </a:lnTo>
              <a:lnTo>
                <a:pt x="59" y="60"/>
              </a:lnTo>
              <a:lnTo>
                <a:pt x="59" y="0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247650</xdr:colOff>
      <xdr:row>34</xdr:row>
      <xdr:rowOff>0</xdr:rowOff>
    </xdr:from>
    <xdr:to>
      <xdr:col>9</xdr:col>
      <xdr:colOff>257175</xdr:colOff>
      <xdr:row>36</xdr:row>
      <xdr:rowOff>95250</xdr:rowOff>
    </xdr:to>
    <xdr:sp macro="" textlink="">
      <xdr:nvSpPr>
        <xdr:cNvPr id="68" name="Line 208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 bwMode="auto">
        <a:xfrm>
          <a:off x="7877175" y="5886450"/>
          <a:ext cx="9525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333375</xdr:colOff>
      <xdr:row>33</xdr:row>
      <xdr:rowOff>104775</xdr:rowOff>
    </xdr:from>
    <xdr:to>
      <xdr:col>9</xdr:col>
      <xdr:colOff>333375</xdr:colOff>
      <xdr:row>36</xdr:row>
      <xdr:rowOff>142875</xdr:rowOff>
    </xdr:to>
    <xdr:sp macro="" textlink="">
      <xdr:nvSpPr>
        <xdr:cNvPr id="69" name="Line 2086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ShapeType="1"/>
        </xdr:cNvSpPr>
      </xdr:nvSpPr>
      <xdr:spPr bwMode="auto">
        <a:xfrm>
          <a:off x="7962900" y="5829300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35</xdr:row>
      <xdr:rowOff>47625</xdr:rowOff>
    </xdr:from>
    <xdr:to>
      <xdr:col>9</xdr:col>
      <xdr:colOff>695325</xdr:colOff>
      <xdr:row>35</xdr:row>
      <xdr:rowOff>47625</xdr:rowOff>
    </xdr:to>
    <xdr:sp macro="" textlink="">
      <xdr:nvSpPr>
        <xdr:cNvPr id="70" name="Line 2087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ShapeType="1"/>
        </xdr:cNvSpPr>
      </xdr:nvSpPr>
      <xdr:spPr bwMode="auto">
        <a:xfrm>
          <a:off x="8039100" y="6096000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390525</xdr:colOff>
      <xdr:row>21</xdr:row>
      <xdr:rowOff>133350</xdr:rowOff>
    </xdr:from>
    <xdr:to>
      <xdr:col>13</xdr:col>
      <xdr:colOff>504825</xdr:colOff>
      <xdr:row>22</xdr:row>
      <xdr:rowOff>104775</xdr:rowOff>
    </xdr:to>
    <xdr:sp macro="" textlink="">
      <xdr:nvSpPr>
        <xdr:cNvPr id="71" name="Oval 54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11496675" y="3886200"/>
          <a:ext cx="114300" cy="13335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571500</xdr:colOff>
      <xdr:row>41</xdr:row>
      <xdr:rowOff>123825</xdr:rowOff>
    </xdr:from>
    <xdr:to>
      <xdr:col>9</xdr:col>
      <xdr:colOff>800100</xdr:colOff>
      <xdr:row>42</xdr:row>
      <xdr:rowOff>161925</xdr:rowOff>
    </xdr:to>
    <xdr:sp macro="" textlink="">
      <xdr:nvSpPr>
        <xdr:cNvPr id="72" name="Freeform 5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/>
        </xdr:cNvSpPr>
      </xdr:nvSpPr>
      <xdr:spPr bwMode="auto">
        <a:xfrm>
          <a:off x="8201025" y="7143750"/>
          <a:ext cx="228600" cy="200025"/>
        </a:xfrm>
        <a:custGeom>
          <a:avLst/>
          <a:gdLst>
            <a:gd name="T0" fmla="*/ 2147483647 w 108"/>
            <a:gd name="T1" fmla="*/ 2147483647 h 84"/>
            <a:gd name="T2" fmla="*/ 0 w 108"/>
            <a:gd name="T3" fmla="*/ 0 h 84"/>
            <a:gd name="T4" fmla="*/ 2147483647 w 108"/>
            <a:gd name="T5" fmla="*/ 0 h 84"/>
            <a:gd name="T6" fmla="*/ 2147483647 w 108"/>
            <a:gd name="T7" fmla="*/ 2147483647 h 8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108" h="84">
              <a:moveTo>
                <a:pt x="54" y="84"/>
              </a:moveTo>
              <a:lnTo>
                <a:pt x="0" y="0"/>
              </a:lnTo>
              <a:lnTo>
                <a:pt x="108" y="0"/>
              </a:lnTo>
              <a:lnTo>
                <a:pt x="54" y="84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21</xdr:row>
      <xdr:rowOff>161925</xdr:rowOff>
    </xdr:from>
    <xdr:to>
      <xdr:col>9</xdr:col>
      <xdr:colOff>695325</xdr:colOff>
      <xdr:row>25</xdr:row>
      <xdr:rowOff>95250</xdr:rowOff>
    </xdr:to>
    <xdr:sp macro="" textlink="">
      <xdr:nvSpPr>
        <xdr:cNvPr id="73" name="Line 175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 bwMode="auto">
        <a:xfrm flipV="1">
          <a:off x="8315325" y="3914775"/>
          <a:ext cx="9525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161925</xdr:rowOff>
    </xdr:from>
    <xdr:to>
      <xdr:col>10</xdr:col>
      <xdr:colOff>9525</xdr:colOff>
      <xdr:row>22</xdr:row>
      <xdr:rowOff>9525</xdr:rowOff>
    </xdr:to>
    <xdr:sp macro="" textlink="">
      <xdr:nvSpPr>
        <xdr:cNvPr id="74" name="Line 2000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ShapeType="1"/>
        </xdr:cNvSpPr>
      </xdr:nvSpPr>
      <xdr:spPr bwMode="auto">
        <a:xfrm>
          <a:off x="8039100" y="3914775"/>
          <a:ext cx="5524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505086</xdr:colOff>
      <xdr:row>20</xdr:row>
      <xdr:rowOff>7620</xdr:rowOff>
    </xdr:from>
    <xdr:to>
      <xdr:col>9</xdr:col>
      <xdr:colOff>880877</xdr:colOff>
      <xdr:row>22</xdr:row>
      <xdr:rowOff>19964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8134611" y="3598545"/>
          <a:ext cx="375791" cy="336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eaLnBrk="1" hangingPunct="1"/>
          <a:r>
            <a:rPr lang="en-US" altLang="en-US" b="0">
              <a:solidFill>
                <a:srgbClr val="000000"/>
              </a:solidFill>
              <a:latin typeface="Arial" panose="020B0604020202020204" pitchFamily="34" charset="0"/>
            </a:rPr>
            <a:t>Vin</a:t>
          </a:r>
          <a:endParaRPr lang="en-US" altLang="en-US" b="0">
            <a:latin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514350</xdr:colOff>
      <xdr:row>26</xdr:row>
      <xdr:rowOff>57150</xdr:rowOff>
    </xdr:from>
    <xdr:to>
      <xdr:col>11</xdr:col>
      <xdr:colOff>523875</xdr:colOff>
      <xdr:row>34</xdr:row>
      <xdr:rowOff>85725</xdr:rowOff>
    </xdr:to>
    <xdr:sp macro="" textlink="">
      <xdr:nvSpPr>
        <xdr:cNvPr id="76" name="Line 175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ShapeType="1"/>
        </xdr:cNvSpPr>
      </xdr:nvSpPr>
      <xdr:spPr bwMode="auto">
        <a:xfrm flipH="1">
          <a:off x="10096500" y="4648200"/>
          <a:ext cx="9525" cy="1323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9524</xdr:colOff>
      <xdr:row>31</xdr:row>
      <xdr:rowOff>57149</xdr:rowOff>
    </xdr:from>
    <xdr:to>
      <xdr:col>11</xdr:col>
      <xdr:colOff>476249</xdr:colOff>
      <xdr:row>31</xdr:row>
      <xdr:rowOff>66674</xdr:rowOff>
    </xdr:to>
    <xdr:sp macro="" textlink="">
      <xdr:nvSpPr>
        <xdr:cNvPr id="77" name="Line 1757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ShapeType="1"/>
        </xdr:cNvSpPr>
      </xdr:nvSpPr>
      <xdr:spPr bwMode="auto">
        <a:xfrm flipH="1">
          <a:off x="9591674" y="5457824"/>
          <a:ext cx="4667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47625</xdr:colOff>
      <xdr:row>35</xdr:row>
      <xdr:rowOff>66675</xdr:rowOff>
    </xdr:from>
    <xdr:to>
      <xdr:col>12</xdr:col>
      <xdr:colOff>371475</xdr:colOff>
      <xdr:row>35</xdr:row>
      <xdr:rowOff>66675</xdr:rowOff>
    </xdr:to>
    <xdr:sp macro="" textlink="">
      <xdr:nvSpPr>
        <xdr:cNvPr id="78" name="Line 178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ShapeType="1"/>
        </xdr:cNvSpPr>
      </xdr:nvSpPr>
      <xdr:spPr bwMode="auto">
        <a:xfrm flipV="1">
          <a:off x="10544175" y="6115050"/>
          <a:ext cx="323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742950</xdr:colOff>
      <xdr:row>35</xdr:row>
      <xdr:rowOff>9525</xdr:rowOff>
    </xdr:from>
    <xdr:to>
      <xdr:col>11</xdr:col>
      <xdr:colOff>866775</xdr:colOff>
      <xdr:row>35</xdr:row>
      <xdr:rowOff>152400</xdr:rowOff>
    </xdr:to>
    <xdr:sp macro="" textlink="">
      <xdr:nvSpPr>
        <xdr:cNvPr id="79" name="Freeform 106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/>
        </xdr:cNvSpPr>
      </xdr:nvSpPr>
      <xdr:spPr bwMode="auto">
        <a:xfrm flipH="1">
          <a:off x="10325100" y="6057900"/>
          <a:ext cx="123825" cy="142875"/>
        </a:xfrm>
        <a:custGeom>
          <a:avLst/>
          <a:gdLst>
            <a:gd name="T0" fmla="*/ 2147483647 w 59"/>
            <a:gd name="T1" fmla="*/ 0 h 60"/>
            <a:gd name="T2" fmla="*/ 0 w 59"/>
            <a:gd name="T3" fmla="*/ 2147483647 h 60"/>
            <a:gd name="T4" fmla="*/ 2147483647 w 59"/>
            <a:gd name="T5" fmla="*/ 2147483647 h 60"/>
            <a:gd name="T6" fmla="*/ 2147483647 w 59"/>
            <a:gd name="T7" fmla="*/ 0 h 60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9" h="60">
              <a:moveTo>
                <a:pt x="59" y="0"/>
              </a:moveTo>
              <a:lnTo>
                <a:pt x="0" y="29"/>
              </a:lnTo>
              <a:lnTo>
                <a:pt x="59" y="60"/>
              </a:lnTo>
              <a:lnTo>
                <a:pt x="59" y="0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504825</xdr:colOff>
      <xdr:row>25</xdr:row>
      <xdr:rowOff>38100</xdr:rowOff>
    </xdr:from>
    <xdr:to>
      <xdr:col>12</xdr:col>
      <xdr:colOff>495300</xdr:colOff>
      <xdr:row>32</xdr:row>
      <xdr:rowOff>152400</xdr:rowOff>
    </xdr:to>
    <xdr:grpSp>
      <xdr:nvGrpSpPr>
        <xdr:cNvPr id="80" name="Group 107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GrpSpPr>
          <a:grpSpLocks/>
        </xdr:cNvGrpSpPr>
      </xdr:nvGrpSpPr>
      <xdr:grpSpPr bwMode="auto">
        <a:xfrm flipH="1">
          <a:off x="10460355" y="4476750"/>
          <a:ext cx="922020" cy="1276350"/>
          <a:chOff x="5578871" y="2630897"/>
          <a:chExt cx="422474" cy="716172"/>
        </a:xfrm>
      </xdr:grpSpPr>
      <xdr:sp macro="" textlink="">
        <xdr:nvSpPr>
          <xdr:cNvPr id="81" name="Line 1746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793029" y="2679136"/>
            <a:ext cx="202475" cy="185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" name="Line 1747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793029" y="2820145"/>
            <a:ext cx="202475" cy="185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3" name="Freeform 110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>
            <a:spLocks/>
          </xdr:cNvSpPr>
        </xdr:nvSpPr>
        <xdr:spPr bwMode="auto">
          <a:xfrm>
            <a:off x="5793029" y="2716244"/>
            <a:ext cx="72034" cy="66794"/>
          </a:xfrm>
          <a:custGeom>
            <a:avLst/>
            <a:gdLst>
              <a:gd name="T0" fmla="*/ 2147483647 w 58"/>
              <a:gd name="T1" fmla="*/ 0 h 60"/>
              <a:gd name="T2" fmla="*/ 0 w 58"/>
              <a:gd name="T3" fmla="*/ 2147483647 h 60"/>
              <a:gd name="T4" fmla="*/ 2147483647 w 58"/>
              <a:gd name="T5" fmla="*/ 2147483647 h 60"/>
              <a:gd name="T6" fmla="*/ 2147483647 w 58"/>
              <a:gd name="T7" fmla="*/ 0 h 60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8" h="60">
                <a:moveTo>
                  <a:pt x="58" y="0"/>
                </a:moveTo>
                <a:lnTo>
                  <a:pt x="0" y="29"/>
                </a:lnTo>
                <a:lnTo>
                  <a:pt x="58" y="60"/>
                </a:lnTo>
                <a:lnTo>
                  <a:pt x="58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4" name="Line 1749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>
            <a:spLocks noChangeShapeType="1"/>
          </xdr:cNvSpPr>
        </xdr:nvSpPr>
        <xdr:spPr bwMode="auto">
          <a:xfrm>
            <a:off x="5742411" y="2653162"/>
            <a:ext cx="1946" cy="18924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5" name="Line 1750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>
            <a:spLocks noChangeShapeType="1"/>
          </xdr:cNvSpPr>
        </xdr:nvSpPr>
        <xdr:spPr bwMode="auto">
          <a:xfrm>
            <a:off x="5787189" y="2630897"/>
            <a:ext cx="1946" cy="23748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" name="Line 1751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>
            <a:spLocks noChangeShapeType="1"/>
          </xdr:cNvSpPr>
        </xdr:nvSpPr>
        <xdr:spPr bwMode="auto">
          <a:xfrm>
            <a:off x="5837807" y="2747786"/>
            <a:ext cx="163538" cy="185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" name="Line 1961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793029" y="2679136"/>
            <a:ext cx="204422" cy="185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" name="Line 1962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793029" y="2820145"/>
            <a:ext cx="204422" cy="185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9" name="Freeform 116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>
            <a:spLocks/>
          </xdr:cNvSpPr>
        </xdr:nvSpPr>
        <xdr:spPr bwMode="auto">
          <a:xfrm>
            <a:off x="5793029" y="2714389"/>
            <a:ext cx="72034" cy="68648"/>
          </a:xfrm>
          <a:custGeom>
            <a:avLst/>
            <a:gdLst>
              <a:gd name="T0" fmla="*/ 2147483647 w 58"/>
              <a:gd name="T1" fmla="*/ 0 h 60"/>
              <a:gd name="T2" fmla="*/ 0 w 58"/>
              <a:gd name="T3" fmla="*/ 2147483647 h 60"/>
              <a:gd name="T4" fmla="*/ 2147483647 w 58"/>
              <a:gd name="T5" fmla="*/ 2147483647 h 60"/>
              <a:gd name="T6" fmla="*/ 2147483647 w 58"/>
              <a:gd name="T7" fmla="*/ 0 h 60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8" h="60">
                <a:moveTo>
                  <a:pt x="58" y="0"/>
                </a:moveTo>
                <a:lnTo>
                  <a:pt x="0" y="29"/>
                </a:lnTo>
                <a:lnTo>
                  <a:pt x="58" y="60"/>
                </a:lnTo>
                <a:lnTo>
                  <a:pt x="58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0" name="Line 1964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>
            <a:spLocks noChangeShapeType="1"/>
          </xdr:cNvSpPr>
        </xdr:nvSpPr>
        <xdr:spPr bwMode="auto">
          <a:xfrm>
            <a:off x="5742411" y="2653162"/>
            <a:ext cx="1946" cy="18924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1" name="Line 1965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>
            <a:spLocks noChangeShapeType="1"/>
          </xdr:cNvSpPr>
        </xdr:nvSpPr>
        <xdr:spPr bwMode="auto">
          <a:xfrm>
            <a:off x="5785241" y="2630897"/>
            <a:ext cx="3894" cy="23748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2" name="Line 1966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>
            <a:spLocks noChangeShapeType="1"/>
          </xdr:cNvSpPr>
        </xdr:nvSpPr>
        <xdr:spPr bwMode="auto">
          <a:xfrm>
            <a:off x="5837807" y="2747786"/>
            <a:ext cx="163538" cy="185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3" name="Line 1967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793029" y="2679136"/>
            <a:ext cx="204422" cy="185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4" name="Line 1968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793029" y="2820145"/>
            <a:ext cx="204422" cy="185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5" name="Freeform 122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>
            <a:spLocks/>
          </xdr:cNvSpPr>
        </xdr:nvSpPr>
        <xdr:spPr bwMode="auto">
          <a:xfrm>
            <a:off x="5793029" y="2714389"/>
            <a:ext cx="72034" cy="68648"/>
          </a:xfrm>
          <a:custGeom>
            <a:avLst/>
            <a:gdLst>
              <a:gd name="T0" fmla="*/ 2147483647 w 58"/>
              <a:gd name="T1" fmla="*/ 0 h 60"/>
              <a:gd name="T2" fmla="*/ 0 w 58"/>
              <a:gd name="T3" fmla="*/ 2147483647 h 60"/>
              <a:gd name="T4" fmla="*/ 2147483647 w 58"/>
              <a:gd name="T5" fmla="*/ 2147483647 h 60"/>
              <a:gd name="T6" fmla="*/ 2147483647 w 58"/>
              <a:gd name="T7" fmla="*/ 0 h 60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8" h="60">
                <a:moveTo>
                  <a:pt x="58" y="0"/>
                </a:moveTo>
                <a:lnTo>
                  <a:pt x="0" y="29"/>
                </a:lnTo>
                <a:lnTo>
                  <a:pt x="58" y="60"/>
                </a:lnTo>
                <a:lnTo>
                  <a:pt x="58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6" name="Line 1970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SpPr>
            <a:spLocks noChangeShapeType="1"/>
          </xdr:cNvSpPr>
        </xdr:nvSpPr>
        <xdr:spPr bwMode="auto">
          <a:xfrm>
            <a:off x="5742411" y="2653162"/>
            <a:ext cx="1946" cy="18924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7" name="Line 1971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>
            <a:spLocks noChangeShapeType="1"/>
          </xdr:cNvSpPr>
        </xdr:nvSpPr>
        <xdr:spPr bwMode="auto">
          <a:xfrm>
            <a:off x="5785241" y="2630897"/>
            <a:ext cx="3894" cy="23748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8" name="Line 1972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>
            <a:spLocks noChangeShapeType="1"/>
          </xdr:cNvSpPr>
        </xdr:nvSpPr>
        <xdr:spPr bwMode="auto">
          <a:xfrm>
            <a:off x="5837807" y="2747786"/>
            <a:ext cx="163538" cy="185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9" name="Line 1996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SpPr>
            <a:spLocks noChangeShapeType="1"/>
          </xdr:cNvSpPr>
        </xdr:nvSpPr>
        <xdr:spPr bwMode="auto">
          <a:xfrm>
            <a:off x="5995505" y="2747786"/>
            <a:ext cx="1946" cy="59928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" name="Line 1997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>
            <a:spLocks noChangeShapeType="1"/>
          </xdr:cNvSpPr>
        </xdr:nvSpPr>
        <xdr:spPr bwMode="auto">
          <a:xfrm>
            <a:off x="5578871" y="2747786"/>
            <a:ext cx="157700" cy="185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11</xdr:col>
      <xdr:colOff>523875</xdr:colOff>
      <xdr:row>35</xdr:row>
      <xdr:rowOff>66675</xdr:rowOff>
    </xdr:from>
    <xdr:to>
      <xdr:col>11</xdr:col>
      <xdr:colOff>523875</xdr:colOff>
      <xdr:row>41</xdr:row>
      <xdr:rowOff>142875</xdr:rowOff>
    </xdr:to>
    <xdr:sp macro="" textlink="">
      <xdr:nvSpPr>
        <xdr:cNvPr id="101" name="Line 200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ShapeType="1"/>
        </xdr:cNvSpPr>
      </xdr:nvSpPr>
      <xdr:spPr bwMode="auto">
        <a:xfrm flipH="1">
          <a:off x="10106025" y="6115050"/>
          <a:ext cx="0" cy="104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457200</xdr:colOff>
      <xdr:row>30</xdr:row>
      <xdr:rowOff>133350</xdr:rowOff>
    </xdr:from>
    <xdr:to>
      <xdr:col>11</xdr:col>
      <xdr:colOff>561975</xdr:colOff>
      <xdr:row>31</xdr:row>
      <xdr:rowOff>114300</xdr:rowOff>
    </xdr:to>
    <xdr:sp macro="" textlink="">
      <xdr:nvSpPr>
        <xdr:cNvPr id="102" name="Oval 129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rrowheads="1"/>
        </xdr:cNvSpPr>
      </xdr:nvSpPr>
      <xdr:spPr bwMode="auto">
        <a:xfrm flipH="1">
          <a:off x="10039350" y="5372100"/>
          <a:ext cx="104775" cy="142875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523875</xdr:colOff>
      <xdr:row>34</xdr:row>
      <xdr:rowOff>85725</xdr:rowOff>
    </xdr:from>
    <xdr:to>
      <xdr:col>11</xdr:col>
      <xdr:colOff>876300</xdr:colOff>
      <xdr:row>34</xdr:row>
      <xdr:rowOff>85725</xdr:rowOff>
    </xdr:to>
    <xdr:sp macro="" textlink="">
      <xdr:nvSpPr>
        <xdr:cNvPr id="103" name="Line 208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ShapeType="1"/>
        </xdr:cNvSpPr>
      </xdr:nvSpPr>
      <xdr:spPr bwMode="auto">
        <a:xfrm>
          <a:off x="10106025" y="5972175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523875</xdr:colOff>
      <xdr:row>36</xdr:row>
      <xdr:rowOff>66675</xdr:rowOff>
    </xdr:from>
    <xdr:to>
      <xdr:col>11</xdr:col>
      <xdr:colOff>876300</xdr:colOff>
      <xdr:row>36</xdr:row>
      <xdr:rowOff>76200</xdr:rowOff>
    </xdr:to>
    <xdr:sp macro="" textlink="">
      <xdr:nvSpPr>
        <xdr:cNvPr id="104" name="Line 208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ShapeType="1"/>
        </xdr:cNvSpPr>
      </xdr:nvSpPr>
      <xdr:spPr bwMode="auto">
        <a:xfrm>
          <a:off x="10106025" y="6276975"/>
          <a:ext cx="3524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38100</xdr:colOff>
      <xdr:row>34</xdr:row>
      <xdr:rowOff>28575</xdr:rowOff>
    </xdr:from>
    <xdr:to>
      <xdr:col>12</xdr:col>
      <xdr:colOff>47625</xdr:colOff>
      <xdr:row>36</xdr:row>
      <xdr:rowOff>114300</xdr:rowOff>
    </xdr:to>
    <xdr:sp macro="" textlink="">
      <xdr:nvSpPr>
        <xdr:cNvPr id="105" name="Line 2085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ShapeType="1"/>
        </xdr:cNvSpPr>
      </xdr:nvSpPr>
      <xdr:spPr bwMode="auto">
        <a:xfrm flipH="1">
          <a:off x="10534650" y="5915025"/>
          <a:ext cx="9525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504825</xdr:colOff>
      <xdr:row>35</xdr:row>
      <xdr:rowOff>66675</xdr:rowOff>
    </xdr:from>
    <xdr:to>
      <xdr:col>11</xdr:col>
      <xdr:colOff>790575</xdr:colOff>
      <xdr:row>35</xdr:row>
      <xdr:rowOff>76200</xdr:rowOff>
    </xdr:to>
    <xdr:sp macro="" textlink="">
      <xdr:nvSpPr>
        <xdr:cNvPr id="106" name="Line 208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ShapeType="1"/>
        </xdr:cNvSpPr>
      </xdr:nvSpPr>
      <xdr:spPr bwMode="auto">
        <a:xfrm flipH="1">
          <a:off x="10086975" y="6115050"/>
          <a:ext cx="2857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409575</xdr:colOff>
      <xdr:row>41</xdr:row>
      <xdr:rowOff>142875</xdr:rowOff>
    </xdr:from>
    <xdr:to>
      <xdr:col>11</xdr:col>
      <xdr:colOff>628650</xdr:colOff>
      <xdr:row>43</xdr:row>
      <xdr:rowOff>28575</xdr:rowOff>
    </xdr:to>
    <xdr:sp macro="" textlink="">
      <xdr:nvSpPr>
        <xdr:cNvPr id="107" name="Freeform 134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/>
        </xdr:cNvSpPr>
      </xdr:nvSpPr>
      <xdr:spPr bwMode="auto">
        <a:xfrm flipH="1">
          <a:off x="9991725" y="7162800"/>
          <a:ext cx="219075" cy="209550"/>
        </a:xfrm>
        <a:custGeom>
          <a:avLst/>
          <a:gdLst>
            <a:gd name="T0" fmla="*/ 2147483647 w 108"/>
            <a:gd name="T1" fmla="*/ 2147483647 h 84"/>
            <a:gd name="T2" fmla="*/ 0 w 108"/>
            <a:gd name="T3" fmla="*/ 0 h 84"/>
            <a:gd name="T4" fmla="*/ 2147483647 w 108"/>
            <a:gd name="T5" fmla="*/ 0 h 84"/>
            <a:gd name="T6" fmla="*/ 2147483647 w 108"/>
            <a:gd name="T7" fmla="*/ 2147483647 h 8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108" h="84">
              <a:moveTo>
                <a:pt x="54" y="84"/>
              </a:moveTo>
              <a:lnTo>
                <a:pt x="0" y="0"/>
              </a:lnTo>
              <a:lnTo>
                <a:pt x="108" y="0"/>
              </a:lnTo>
              <a:lnTo>
                <a:pt x="54" y="84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11</xdr:col>
      <xdr:colOff>514350</xdr:colOff>
      <xdr:row>22</xdr:row>
      <xdr:rowOff>28575</xdr:rowOff>
    </xdr:from>
    <xdr:to>
      <xdr:col>11</xdr:col>
      <xdr:colOff>523875</xdr:colOff>
      <xdr:row>25</xdr:row>
      <xdr:rowOff>123825</xdr:rowOff>
    </xdr:to>
    <xdr:sp macro="" textlink="">
      <xdr:nvSpPr>
        <xdr:cNvPr id="108" name="Line 1759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ShapeType="1"/>
        </xdr:cNvSpPr>
      </xdr:nvSpPr>
      <xdr:spPr bwMode="auto">
        <a:xfrm flipH="1" flipV="1">
          <a:off x="10096500" y="3943350"/>
          <a:ext cx="9525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876300</xdr:colOff>
      <xdr:row>33</xdr:row>
      <xdr:rowOff>142875</xdr:rowOff>
    </xdr:from>
    <xdr:to>
      <xdr:col>11</xdr:col>
      <xdr:colOff>876300</xdr:colOff>
      <xdr:row>37</xdr:row>
      <xdr:rowOff>19050</xdr:rowOff>
    </xdr:to>
    <xdr:sp macro="" textlink="">
      <xdr:nvSpPr>
        <xdr:cNvPr id="109" name="Line 2086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ShapeType="1"/>
        </xdr:cNvSpPr>
      </xdr:nvSpPr>
      <xdr:spPr bwMode="auto">
        <a:xfrm>
          <a:off x="10458450" y="5867400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57380</xdr:colOff>
      <xdr:row>25</xdr:row>
      <xdr:rowOff>102415</xdr:rowOff>
    </xdr:from>
    <xdr:to>
      <xdr:col>11</xdr:col>
      <xdr:colOff>549542</xdr:colOff>
      <xdr:row>27</xdr:row>
      <xdr:rowOff>42789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rrowheads="1"/>
        </xdr:cNvSpPr>
      </xdr:nvSpPr>
      <xdr:spPr bwMode="auto">
        <a:xfrm>
          <a:off x="9639530" y="4502965"/>
          <a:ext cx="492162" cy="292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hangingPunct="1"/>
          <a:r>
            <a:rPr lang="en-US" altLang="en-US" b="0">
              <a:solidFill>
                <a:srgbClr val="000000"/>
              </a:solidFill>
              <a:latin typeface="Arial" panose="020B0604020202020204" pitchFamily="34" charset="0"/>
            </a:rPr>
            <a:t>Q3</a:t>
          </a:r>
          <a:endParaRPr lang="en-US" altLang="en-US" b="0">
            <a:latin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705889</xdr:colOff>
      <xdr:row>34</xdr:row>
      <xdr:rowOff>25304</xdr:rowOff>
    </xdr:from>
    <xdr:to>
      <xdr:col>10</xdr:col>
      <xdr:colOff>224842</xdr:colOff>
      <xdr:row>36</xdr:row>
      <xdr:rowOff>33411</xdr:rowOff>
    </xdr:to>
    <xdr:sp macro="" textlink="">
      <xdr:nvSpPr>
        <xdr:cNvPr id="111" name="Rectangl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rrowheads="1"/>
        </xdr:cNvSpPr>
      </xdr:nvSpPr>
      <xdr:spPr bwMode="auto">
        <a:xfrm>
          <a:off x="8335414" y="5911754"/>
          <a:ext cx="471453" cy="331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hangingPunct="1"/>
          <a:r>
            <a:rPr lang="en-US" altLang="en-US" b="0">
              <a:solidFill>
                <a:srgbClr val="000000"/>
              </a:solidFill>
              <a:latin typeface="Arial" panose="020B0604020202020204" pitchFamily="34" charset="0"/>
            </a:rPr>
            <a:t>Q2</a:t>
          </a:r>
          <a:endParaRPr lang="en-US" altLang="en-US" b="0">
            <a:latin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3</xdr:row>
      <xdr:rowOff>0</xdr:rowOff>
    </xdr:from>
    <xdr:to>
      <xdr:col>6</xdr:col>
      <xdr:colOff>439935</xdr:colOff>
      <xdr:row>12</xdr:row>
      <xdr:rowOff>97155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"/>
          <a:ext cx="6341625" cy="181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124787</xdr:colOff>
      <xdr:row>30</xdr:row>
      <xdr:rowOff>27241</xdr:rowOff>
    </xdr:from>
    <xdr:to>
      <xdr:col>9</xdr:col>
      <xdr:colOff>623110</xdr:colOff>
      <xdr:row>31</xdr:row>
      <xdr:rowOff>158115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rrowheads="1"/>
        </xdr:cNvSpPr>
      </xdr:nvSpPr>
      <xdr:spPr bwMode="auto">
        <a:xfrm>
          <a:off x="7859087" y="5265991"/>
          <a:ext cx="498323" cy="292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hangingPunct="1"/>
          <a:r>
            <a:rPr lang="en-US" altLang="en-US" b="0">
              <a:solidFill>
                <a:srgbClr val="000000"/>
              </a:solidFill>
              <a:latin typeface="Arial" panose="020B0604020202020204" pitchFamily="34" charset="0"/>
            </a:rPr>
            <a:t>SW1</a:t>
          </a:r>
          <a:endParaRPr lang="en-US" altLang="en-US" b="0">
            <a:latin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610562</xdr:colOff>
      <xdr:row>30</xdr:row>
      <xdr:rowOff>46291</xdr:rowOff>
    </xdr:from>
    <xdr:to>
      <xdr:col>12</xdr:col>
      <xdr:colOff>194485</xdr:colOff>
      <xdr:row>32</xdr:row>
      <xdr:rowOff>15240</xdr:rowOff>
    </xdr:to>
    <xdr:sp macro="" textlink="">
      <xdr:nvSpPr>
        <xdr:cNvPr id="114" name="Rectangl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rrowheads="1"/>
        </xdr:cNvSpPr>
      </xdr:nvSpPr>
      <xdr:spPr bwMode="auto">
        <a:xfrm>
          <a:off x="10297487" y="5285041"/>
          <a:ext cx="498323" cy="292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hangingPunct="1"/>
          <a:r>
            <a:rPr lang="en-US" altLang="en-US" b="0">
              <a:solidFill>
                <a:srgbClr val="000000"/>
              </a:solidFill>
              <a:latin typeface="Arial" panose="020B0604020202020204" pitchFamily="34" charset="0"/>
            </a:rPr>
            <a:t>SW2</a:t>
          </a:r>
          <a:endParaRPr lang="en-US" altLang="en-US" b="0">
            <a:latin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10</xdr:row>
      <xdr:rowOff>373380</xdr:rowOff>
    </xdr:from>
    <xdr:to>
      <xdr:col>9</xdr:col>
      <xdr:colOff>761999</xdr:colOff>
      <xdr:row>40</xdr:row>
      <xdr:rowOff>240030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142875</xdr:rowOff>
    </xdr:from>
    <xdr:to>
      <xdr:col>7</xdr:col>
      <xdr:colOff>609600</xdr:colOff>
      <xdr:row>0</xdr:row>
      <xdr:rowOff>1962150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42875"/>
          <a:ext cx="6438900" cy="181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63200_Peak_Current_Mode_converter_design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MathcadProperties"/>
      <sheetName val="Power Loss"/>
      <sheetName val="Efficiency Summary"/>
      <sheetName val="Compensator"/>
    </sheetNames>
    <sheetDataSet>
      <sheetData sheetId="0"/>
      <sheetData sheetId="1"/>
      <sheetData sheetId="2">
        <row r="20">
          <cell r="F20">
            <v>1.6666666666666667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I162"/>
  <sheetViews>
    <sheetView tabSelected="1" topLeftCell="A15" workbookViewId="0">
      <selection activeCell="B24" sqref="B24"/>
    </sheetView>
  </sheetViews>
  <sheetFormatPr defaultRowHeight="13.2" x14ac:dyDescent="0.25"/>
  <cols>
    <col min="1" max="1" width="34.33203125" style="1" bestFit="1" customWidth="1"/>
    <col min="2" max="2" width="11" style="1" customWidth="1"/>
    <col min="3" max="3" width="7" style="1" customWidth="1"/>
    <col min="4" max="4" width="2.5546875" style="1" customWidth="1"/>
    <col min="5" max="5" width="26" style="1" customWidth="1"/>
    <col min="6" max="6" width="7.6640625" style="1" customWidth="1"/>
    <col min="7" max="9" width="9.109375" style="1"/>
    <col min="10" max="10" width="14.33203125" style="1" bestFit="1" customWidth="1"/>
    <col min="11" max="11" width="15" style="1" bestFit="1" customWidth="1"/>
    <col min="12" max="12" width="13.6640625" style="1" bestFit="1" customWidth="1"/>
    <col min="13" max="256" width="9.109375" style="1"/>
    <col min="257" max="257" width="34.33203125" style="1" bestFit="1" customWidth="1"/>
    <col min="258" max="258" width="9.44140625" style="1" customWidth="1"/>
    <col min="259" max="259" width="7" style="1" customWidth="1"/>
    <col min="260" max="260" width="2.5546875" style="1" customWidth="1"/>
    <col min="261" max="261" width="26" style="1" customWidth="1"/>
    <col min="262" max="262" width="7.6640625" style="1" customWidth="1"/>
    <col min="263" max="265" width="9.109375" style="1"/>
    <col min="266" max="266" width="14.33203125" style="1" bestFit="1" customWidth="1"/>
    <col min="267" max="267" width="15" style="1" bestFit="1" customWidth="1"/>
    <col min="268" max="268" width="13.6640625" style="1" bestFit="1" customWidth="1"/>
    <col min="269" max="512" width="9.109375" style="1"/>
    <col min="513" max="513" width="34.33203125" style="1" bestFit="1" customWidth="1"/>
    <col min="514" max="514" width="9.44140625" style="1" customWidth="1"/>
    <col min="515" max="515" width="7" style="1" customWidth="1"/>
    <col min="516" max="516" width="2.5546875" style="1" customWidth="1"/>
    <col min="517" max="517" width="26" style="1" customWidth="1"/>
    <col min="518" max="518" width="7.6640625" style="1" customWidth="1"/>
    <col min="519" max="521" width="9.109375" style="1"/>
    <col min="522" max="522" width="14.33203125" style="1" bestFit="1" customWidth="1"/>
    <col min="523" max="523" width="15" style="1" bestFit="1" customWidth="1"/>
    <col min="524" max="524" width="13.6640625" style="1" bestFit="1" customWidth="1"/>
    <col min="525" max="768" width="9.109375" style="1"/>
    <col min="769" max="769" width="34.33203125" style="1" bestFit="1" customWidth="1"/>
    <col min="770" max="770" width="9.44140625" style="1" customWidth="1"/>
    <col min="771" max="771" width="7" style="1" customWidth="1"/>
    <col min="772" max="772" width="2.5546875" style="1" customWidth="1"/>
    <col min="773" max="773" width="26" style="1" customWidth="1"/>
    <col min="774" max="774" width="7.6640625" style="1" customWidth="1"/>
    <col min="775" max="777" width="9.109375" style="1"/>
    <col min="778" max="778" width="14.33203125" style="1" bestFit="1" customWidth="1"/>
    <col min="779" max="779" width="15" style="1" bestFit="1" customWidth="1"/>
    <col min="780" max="780" width="13.6640625" style="1" bestFit="1" customWidth="1"/>
    <col min="781" max="1024" width="9.109375" style="1"/>
    <col min="1025" max="1025" width="34.33203125" style="1" bestFit="1" customWidth="1"/>
    <col min="1026" max="1026" width="9.44140625" style="1" customWidth="1"/>
    <col min="1027" max="1027" width="7" style="1" customWidth="1"/>
    <col min="1028" max="1028" width="2.5546875" style="1" customWidth="1"/>
    <col min="1029" max="1029" width="26" style="1" customWidth="1"/>
    <col min="1030" max="1030" width="7.6640625" style="1" customWidth="1"/>
    <col min="1031" max="1033" width="9.109375" style="1"/>
    <col min="1034" max="1034" width="14.33203125" style="1" bestFit="1" customWidth="1"/>
    <col min="1035" max="1035" width="15" style="1" bestFit="1" customWidth="1"/>
    <col min="1036" max="1036" width="13.6640625" style="1" bestFit="1" customWidth="1"/>
    <col min="1037" max="1280" width="9.109375" style="1"/>
    <col min="1281" max="1281" width="34.33203125" style="1" bestFit="1" customWidth="1"/>
    <col min="1282" max="1282" width="9.44140625" style="1" customWidth="1"/>
    <col min="1283" max="1283" width="7" style="1" customWidth="1"/>
    <col min="1284" max="1284" width="2.5546875" style="1" customWidth="1"/>
    <col min="1285" max="1285" width="26" style="1" customWidth="1"/>
    <col min="1286" max="1286" width="7.6640625" style="1" customWidth="1"/>
    <col min="1287" max="1289" width="9.109375" style="1"/>
    <col min="1290" max="1290" width="14.33203125" style="1" bestFit="1" customWidth="1"/>
    <col min="1291" max="1291" width="15" style="1" bestFit="1" customWidth="1"/>
    <col min="1292" max="1292" width="13.6640625" style="1" bestFit="1" customWidth="1"/>
    <col min="1293" max="1536" width="9.109375" style="1"/>
    <col min="1537" max="1537" width="34.33203125" style="1" bestFit="1" customWidth="1"/>
    <col min="1538" max="1538" width="9.44140625" style="1" customWidth="1"/>
    <col min="1539" max="1539" width="7" style="1" customWidth="1"/>
    <col min="1540" max="1540" width="2.5546875" style="1" customWidth="1"/>
    <col min="1541" max="1541" width="26" style="1" customWidth="1"/>
    <col min="1542" max="1542" width="7.6640625" style="1" customWidth="1"/>
    <col min="1543" max="1545" width="9.109375" style="1"/>
    <col min="1546" max="1546" width="14.33203125" style="1" bestFit="1" customWidth="1"/>
    <col min="1547" max="1547" width="15" style="1" bestFit="1" customWidth="1"/>
    <col min="1548" max="1548" width="13.6640625" style="1" bestFit="1" customWidth="1"/>
    <col min="1549" max="1792" width="9.109375" style="1"/>
    <col min="1793" max="1793" width="34.33203125" style="1" bestFit="1" customWidth="1"/>
    <col min="1794" max="1794" width="9.44140625" style="1" customWidth="1"/>
    <col min="1795" max="1795" width="7" style="1" customWidth="1"/>
    <col min="1796" max="1796" width="2.5546875" style="1" customWidth="1"/>
    <col min="1797" max="1797" width="26" style="1" customWidth="1"/>
    <col min="1798" max="1798" width="7.6640625" style="1" customWidth="1"/>
    <col min="1799" max="1801" width="9.109375" style="1"/>
    <col min="1802" max="1802" width="14.33203125" style="1" bestFit="1" customWidth="1"/>
    <col min="1803" max="1803" width="15" style="1" bestFit="1" customWidth="1"/>
    <col min="1804" max="1804" width="13.6640625" style="1" bestFit="1" customWidth="1"/>
    <col min="1805" max="2048" width="9.109375" style="1"/>
    <col min="2049" max="2049" width="34.33203125" style="1" bestFit="1" customWidth="1"/>
    <col min="2050" max="2050" width="9.44140625" style="1" customWidth="1"/>
    <col min="2051" max="2051" width="7" style="1" customWidth="1"/>
    <col min="2052" max="2052" width="2.5546875" style="1" customWidth="1"/>
    <col min="2053" max="2053" width="26" style="1" customWidth="1"/>
    <col min="2054" max="2054" width="7.6640625" style="1" customWidth="1"/>
    <col min="2055" max="2057" width="9.109375" style="1"/>
    <col min="2058" max="2058" width="14.33203125" style="1" bestFit="1" customWidth="1"/>
    <col min="2059" max="2059" width="15" style="1" bestFit="1" customWidth="1"/>
    <col min="2060" max="2060" width="13.6640625" style="1" bestFit="1" customWidth="1"/>
    <col min="2061" max="2304" width="9.109375" style="1"/>
    <col min="2305" max="2305" width="34.33203125" style="1" bestFit="1" customWidth="1"/>
    <col min="2306" max="2306" width="9.44140625" style="1" customWidth="1"/>
    <col min="2307" max="2307" width="7" style="1" customWidth="1"/>
    <col min="2308" max="2308" width="2.5546875" style="1" customWidth="1"/>
    <col min="2309" max="2309" width="26" style="1" customWidth="1"/>
    <col min="2310" max="2310" width="7.6640625" style="1" customWidth="1"/>
    <col min="2311" max="2313" width="9.109375" style="1"/>
    <col min="2314" max="2314" width="14.33203125" style="1" bestFit="1" customWidth="1"/>
    <col min="2315" max="2315" width="15" style="1" bestFit="1" customWidth="1"/>
    <col min="2316" max="2316" width="13.6640625" style="1" bestFit="1" customWidth="1"/>
    <col min="2317" max="2560" width="9.109375" style="1"/>
    <col min="2561" max="2561" width="34.33203125" style="1" bestFit="1" customWidth="1"/>
    <col min="2562" max="2562" width="9.44140625" style="1" customWidth="1"/>
    <col min="2563" max="2563" width="7" style="1" customWidth="1"/>
    <col min="2564" max="2564" width="2.5546875" style="1" customWidth="1"/>
    <col min="2565" max="2565" width="26" style="1" customWidth="1"/>
    <col min="2566" max="2566" width="7.6640625" style="1" customWidth="1"/>
    <col min="2567" max="2569" width="9.109375" style="1"/>
    <col min="2570" max="2570" width="14.33203125" style="1" bestFit="1" customWidth="1"/>
    <col min="2571" max="2571" width="15" style="1" bestFit="1" customWidth="1"/>
    <col min="2572" max="2572" width="13.6640625" style="1" bestFit="1" customWidth="1"/>
    <col min="2573" max="2816" width="9.109375" style="1"/>
    <col min="2817" max="2817" width="34.33203125" style="1" bestFit="1" customWidth="1"/>
    <col min="2818" max="2818" width="9.44140625" style="1" customWidth="1"/>
    <col min="2819" max="2819" width="7" style="1" customWidth="1"/>
    <col min="2820" max="2820" width="2.5546875" style="1" customWidth="1"/>
    <col min="2821" max="2821" width="26" style="1" customWidth="1"/>
    <col min="2822" max="2822" width="7.6640625" style="1" customWidth="1"/>
    <col min="2823" max="2825" width="9.109375" style="1"/>
    <col min="2826" max="2826" width="14.33203125" style="1" bestFit="1" customWidth="1"/>
    <col min="2827" max="2827" width="15" style="1" bestFit="1" customWidth="1"/>
    <col min="2828" max="2828" width="13.6640625" style="1" bestFit="1" customWidth="1"/>
    <col min="2829" max="3072" width="9.109375" style="1"/>
    <col min="3073" max="3073" width="34.33203125" style="1" bestFit="1" customWidth="1"/>
    <col min="3074" max="3074" width="9.44140625" style="1" customWidth="1"/>
    <col min="3075" max="3075" width="7" style="1" customWidth="1"/>
    <col min="3076" max="3076" width="2.5546875" style="1" customWidth="1"/>
    <col min="3077" max="3077" width="26" style="1" customWidth="1"/>
    <col min="3078" max="3078" width="7.6640625" style="1" customWidth="1"/>
    <col min="3079" max="3081" width="9.109375" style="1"/>
    <col min="3082" max="3082" width="14.33203125" style="1" bestFit="1" customWidth="1"/>
    <col min="3083" max="3083" width="15" style="1" bestFit="1" customWidth="1"/>
    <col min="3084" max="3084" width="13.6640625" style="1" bestFit="1" customWidth="1"/>
    <col min="3085" max="3328" width="9.109375" style="1"/>
    <col min="3329" max="3329" width="34.33203125" style="1" bestFit="1" customWidth="1"/>
    <col min="3330" max="3330" width="9.44140625" style="1" customWidth="1"/>
    <col min="3331" max="3331" width="7" style="1" customWidth="1"/>
    <col min="3332" max="3332" width="2.5546875" style="1" customWidth="1"/>
    <col min="3333" max="3333" width="26" style="1" customWidth="1"/>
    <col min="3334" max="3334" width="7.6640625" style="1" customWidth="1"/>
    <col min="3335" max="3337" width="9.109375" style="1"/>
    <col min="3338" max="3338" width="14.33203125" style="1" bestFit="1" customWidth="1"/>
    <col min="3339" max="3339" width="15" style="1" bestFit="1" customWidth="1"/>
    <col min="3340" max="3340" width="13.6640625" style="1" bestFit="1" customWidth="1"/>
    <col min="3341" max="3584" width="9.109375" style="1"/>
    <col min="3585" max="3585" width="34.33203125" style="1" bestFit="1" customWidth="1"/>
    <col min="3586" max="3586" width="9.44140625" style="1" customWidth="1"/>
    <col min="3587" max="3587" width="7" style="1" customWidth="1"/>
    <col min="3588" max="3588" width="2.5546875" style="1" customWidth="1"/>
    <col min="3589" max="3589" width="26" style="1" customWidth="1"/>
    <col min="3590" max="3590" width="7.6640625" style="1" customWidth="1"/>
    <col min="3591" max="3593" width="9.109375" style="1"/>
    <col min="3594" max="3594" width="14.33203125" style="1" bestFit="1" customWidth="1"/>
    <col min="3595" max="3595" width="15" style="1" bestFit="1" customWidth="1"/>
    <col min="3596" max="3596" width="13.6640625" style="1" bestFit="1" customWidth="1"/>
    <col min="3597" max="3840" width="9.109375" style="1"/>
    <col min="3841" max="3841" width="34.33203125" style="1" bestFit="1" customWidth="1"/>
    <col min="3842" max="3842" width="9.44140625" style="1" customWidth="1"/>
    <col min="3843" max="3843" width="7" style="1" customWidth="1"/>
    <col min="3844" max="3844" width="2.5546875" style="1" customWidth="1"/>
    <col min="3845" max="3845" width="26" style="1" customWidth="1"/>
    <col min="3846" max="3846" width="7.6640625" style="1" customWidth="1"/>
    <col min="3847" max="3849" width="9.109375" style="1"/>
    <col min="3850" max="3850" width="14.33203125" style="1" bestFit="1" customWidth="1"/>
    <col min="3851" max="3851" width="15" style="1" bestFit="1" customWidth="1"/>
    <col min="3852" max="3852" width="13.6640625" style="1" bestFit="1" customWidth="1"/>
    <col min="3853" max="4096" width="9.109375" style="1"/>
    <col min="4097" max="4097" width="34.33203125" style="1" bestFit="1" customWidth="1"/>
    <col min="4098" max="4098" width="9.44140625" style="1" customWidth="1"/>
    <col min="4099" max="4099" width="7" style="1" customWidth="1"/>
    <col min="4100" max="4100" width="2.5546875" style="1" customWidth="1"/>
    <col min="4101" max="4101" width="26" style="1" customWidth="1"/>
    <col min="4102" max="4102" width="7.6640625" style="1" customWidth="1"/>
    <col min="4103" max="4105" width="9.109375" style="1"/>
    <col min="4106" max="4106" width="14.33203125" style="1" bestFit="1" customWidth="1"/>
    <col min="4107" max="4107" width="15" style="1" bestFit="1" customWidth="1"/>
    <col min="4108" max="4108" width="13.6640625" style="1" bestFit="1" customWidth="1"/>
    <col min="4109" max="4352" width="9.109375" style="1"/>
    <col min="4353" max="4353" width="34.33203125" style="1" bestFit="1" customWidth="1"/>
    <col min="4354" max="4354" width="9.44140625" style="1" customWidth="1"/>
    <col min="4355" max="4355" width="7" style="1" customWidth="1"/>
    <col min="4356" max="4356" width="2.5546875" style="1" customWidth="1"/>
    <col min="4357" max="4357" width="26" style="1" customWidth="1"/>
    <col min="4358" max="4358" width="7.6640625" style="1" customWidth="1"/>
    <col min="4359" max="4361" width="9.109375" style="1"/>
    <col min="4362" max="4362" width="14.33203125" style="1" bestFit="1" customWidth="1"/>
    <col min="4363" max="4363" width="15" style="1" bestFit="1" customWidth="1"/>
    <col min="4364" max="4364" width="13.6640625" style="1" bestFit="1" customWidth="1"/>
    <col min="4365" max="4608" width="9.109375" style="1"/>
    <col min="4609" max="4609" width="34.33203125" style="1" bestFit="1" customWidth="1"/>
    <col min="4610" max="4610" width="9.44140625" style="1" customWidth="1"/>
    <col min="4611" max="4611" width="7" style="1" customWidth="1"/>
    <col min="4612" max="4612" width="2.5546875" style="1" customWidth="1"/>
    <col min="4613" max="4613" width="26" style="1" customWidth="1"/>
    <col min="4614" max="4614" width="7.6640625" style="1" customWidth="1"/>
    <col min="4615" max="4617" width="9.109375" style="1"/>
    <col min="4618" max="4618" width="14.33203125" style="1" bestFit="1" customWidth="1"/>
    <col min="4619" max="4619" width="15" style="1" bestFit="1" customWidth="1"/>
    <col min="4620" max="4620" width="13.6640625" style="1" bestFit="1" customWidth="1"/>
    <col min="4621" max="4864" width="9.109375" style="1"/>
    <col min="4865" max="4865" width="34.33203125" style="1" bestFit="1" customWidth="1"/>
    <col min="4866" max="4866" width="9.44140625" style="1" customWidth="1"/>
    <col min="4867" max="4867" width="7" style="1" customWidth="1"/>
    <col min="4868" max="4868" width="2.5546875" style="1" customWidth="1"/>
    <col min="4869" max="4869" width="26" style="1" customWidth="1"/>
    <col min="4870" max="4870" width="7.6640625" style="1" customWidth="1"/>
    <col min="4871" max="4873" width="9.109375" style="1"/>
    <col min="4874" max="4874" width="14.33203125" style="1" bestFit="1" customWidth="1"/>
    <col min="4875" max="4875" width="15" style="1" bestFit="1" customWidth="1"/>
    <col min="4876" max="4876" width="13.6640625" style="1" bestFit="1" customWidth="1"/>
    <col min="4877" max="5120" width="9.109375" style="1"/>
    <col min="5121" max="5121" width="34.33203125" style="1" bestFit="1" customWidth="1"/>
    <col min="5122" max="5122" width="9.44140625" style="1" customWidth="1"/>
    <col min="5123" max="5123" width="7" style="1" customWidth="1"/>
    <col min="5124" max="5124" width="2.5546875" style="1" customWidth="1"/>
    <col min="5125" max="5125" width="26" style="1" customWidth="1"/>
    <col min="5126" max="5126" width="7.6640625" style="1" customWidth="1"/>
    <col min="5127" max="5129" width="9.109375" style="1"/>
    <col min="5130" max="5130" width="14.33203125" style="1" bestFit="1" customWidth="1"/>
    <col min="5131" max="5131" width="15" style="1" bestFit="1" customWidth="1"/>
    <col min="5132" max="5132" width="13.6640625" style="1" bestFit="1" customWidth="1"/>
    <col min="5133" max="5376" width="9.109375" style="1"/>
    <col min="5377" max="5377" width="34.33203125" style="1" bestFit="1" customWidth="1"/>
    <col min="5378" max="5378" width="9.44140625" style="1" customWidth="1"/>
    <col min="5379" max="5379" width="7" style="1" customWidth="1"/>
    <col min="5380" max="5380" width="2.5546875" style="1" customWidth="1"/>
    <col min="5381" max="5381" width="26" style="1" customWidth="1"/>
    <col min="5382" max="5382" width="7.6640625" style="1" customWidth="1"/>
    <col min="5383" max="5385" width="9.109375" style="1"/>
    <col min="5386" max="5386" width="14.33203125" style="1" bestFit="1" customWidth="1"/>
    <col min="5387" max="5387" width="15" style="1" bestFit="1" customWidth="1"/>
    <col min="5388" max="5388" width="13.6640625" style="1" bestFit="1" customWidth="1"/>
    <col min="5389" max="5632" width="9.109375" style="1"/>
    <col min="5633" max="5633" width="34.33203125" style="1" bestFit="1" customWidth="1"/>
    <col min="5634" max="5634" width="9.44140625" style="1" customWidth="1"/>
    <col min="5635" max="5635" width="7" style="1" customWidth="1"/>
    <col min="5636" max="5636" width="2.5546875" style="1" customWidth="1"/>
    <col min="5637" max="5637" width="26" style="1" customWidth="1"/>
    <col min="5638" max="5638" width="7.6640625" style="1" customWidth="1"/>
    <col min="5639" max="5641" width="9.109375" style="1"/>
    <col min="5642" max="5642" width="14.33203125" style="1" bestFit="1" customWidth="1"/>
    <col min="5643" max="5643" width="15" style="1" bestFit="1" customWidth="1"/>
    <col min="5644" max="5644" width="13.6640625" style="1" bestFit="1" customWidth="1"/>
    <col min="5645" max="5888" width="9.109375" style="1"/>
    <col min="5889" max="5889" width="34.33203125" style="1" bestFit="1" customWidth="1"/>
    <col min="5890" max="5890" width="9.44140625" style="1" customWidth="1"/>
    <col min="5891" max="5891" width="7" style="1" customWidth="1"/>
    <col min="5892" max="5892" width="2.5546875" style="1" customWidth="1"/>
    <col min="5893" max="5893" width="26" style="1" customWidth="1"/>
    <col min="5894" max="5894" width="7.6640625" style="1" customWidth="1"/>
    <col min="5895" max="5897" width="9.109375" style="1"/>
    <col min="5898" max="5898" width="14.33203125" style="1" bestFit="1" customWidth="1"/>
    <col min="5899" max="5899" width="15" style="1" bestFit="1" customWidth="1"/>
    <col min="5900" max="5900" width="13.6640625" style="1" bestFit="1" customWidth="1"/>
    <col min="5901" max="6144" width="9.109375" style="1"/>
    <col min="6145" max="6145" width="34.33203125" style="1" bestFit="1" customWidth="1"/>
    <col min="6146" max="6146" width="9.44140625" style="1" customWidth="1"/>
    <col min="6147" max="6147" width="7" style="1" customWidth="1"/>
    <col min="6148" max="6148" width="2.5546875" style="1" customWidth="1"/>
    <col min="6149" max="6149" width="26" style="1" customWidth="1"/>
    <col min="6150" max="6150" width="7.6640625" style="1" customWidth="1"/>
    <col min="6151" max="6153" width="9.109375" style="1"/>
    <col min="6154" max="6154" width="14.33203125" style="1" bestFit="1" customWidth="1"/>
    <col min="6155" max="6155" width="15" style="1" bestFit="1" customWidth="1"/>
    <col min="6156" max="6156" width="13.6640625" style="1" bestFit="1" customWidth="1"/>
    <col min="6157" max="6400" width="9.109375" style="1"/>
    <col min="6401" max="6401" width="34.33203125" style="1" bestFit="1" customWidth="1"/>
    <col min="6402" max="6402" width="9.44140625" style="1" customWidth="1"/>
    <col min="6403" max="6403" width="7" style="1" customWidth="1"/>
    <col min="6404" max="6404" width="2.5546875" style="1" customWidth="1"/>
    <col min="6405" max="6405" width="26" style="1" customWidth="1"/>
    <col min="6406" max="6406" width="7.6640625" style="1" customWidth="1"/>
    <col min="6407" max="6409" width="9.109375" style="1"/>
    <col min="6410" max="6410" width="14.33203125" style="1" bestFit="1" customWidth="1"/>
    <col min="6411" max="6411" width="15" style="1" bestFit="1" customWidth="1"/>
    <col min="6412" max="6412" width="13.6640625" style="1" bestFit="1" customWidth="1"/>
    <col min="6413" max="6656" width="9.109375" style="1"/>
    <col min="6657" max="6657" width="34.33203125" style="1" bestFit="1" customWidth="1"/>
    <col min="6658" max="6658" width="9.44140625" style="1" customWidth="1"/>
    <col min="6659" max="6659" width="7" style="1" customWidth="1"/>
    <col min="6660" max="6660" width="2.5546875" style="1" customWidth="1"/>
    <col min="6661" max="6661" width="26" style="1" customWidth="1"/>
    <col min="6662" max="6662" width="7.6640625" style="1" customWidth="1"/>
    <col min="6663" max="6665" width="9.109375" style="1"/>
    <col min="6666" max="6666" width="14.33203125" style="1" bestFit="1" customWidth="1"/>
    <col min="6667" max="6667" width="15" style="1" bestFit="1" customWidth="1"/>
    <col min="6668" max="6668" width="13.6640625" style="1" bestFit="1" customWidth="1"/>
    <col min="6669" max="6912" width="9.109375" style="1"/>
    <col min="6913" max="6913" width="34.33203125" style="1" bestFit="1" customWidth="1"/>
    <col min="6914" max="6914" width="9.44140625" style="1" customWidth="1"/>
    <col min="6915" max="6915" width="7" style="1" customWidth="1"/>
    <col min="6916" max="6916" width="2.5546875" style="1" customWidth="1"/>
    <col min="6917" max="6917" width="26" style="1" customWidth="1"/>
    <col min="6918" max="6918" width="7.6640625" style="1" customWidth="1"/>
    <col min="6919" max="6921" width="9.109375" style="1"/>
    <col min="6922" max="6922" width="14.33203125" style="1" bestFit="1" customWidth="1"/>
    <col min="6923" max="6923" width="15" style="1" bestFit="1" customWidth="1"/>
    <col min="6924" max="6924" width="13.6640625" style="1" bestFit="1" customWidth="1"/>
    <col min="6925" max="7168" width="9.109375" style="1"/>
    <col min="7169" max="7169" width="34.33203125" style="1" bestFit="1" customWidth="1"/>
    <col min="7170" max="7170" width="9.44140625" style="1" customWidth="1"/>
    <col min="7171" max="7171" width="7" style="1" customWidth="1"/>
    <col min="7172" max="7172" width="2.5546875" style="1" customWidth="1"/>
    <col min="7173" max="7173" width="26" style="1" customWidth="1"/>
    <col min="7174" max="7174" width="7.6640625" style="1" customWidth="1"/>
    <col min="7175" max="7177" width="9.109375" style="1"/>
    <col min="7178" max="7178" width="14.33203125" style="1" bestFit="1" customWidth="1"/>
    <col min="7179" max="7179" width="15" style="1" bestFit="1" customWidth="1"/>
    <col min="7180" max="7180" width="13.6640625" style="1" bestFit="1" customWidth="1"/>
    <col min="7181" max="7424" width="9.109375" style="1"/>
    <col min="7425" max="7425" width="34.33203125" style="1" bestFit="1" customWidth="1"/>
    <col min="7426" max="7426" width="9.44140625" style="1" customWidth="1"/>
    <col min="7427" max="7427" width="7" style="1" customWidth="1"/>
    <col min="7428" max="7428" width="2.5546875" style="1" customWidth="1"/>
    <col min="7429" max="7429" width="26" style="1" customWidth="1"/>
    <col min="7430" max="7430" width="7.6640625" style="1" customWidth="1"/>
    <col min="7431" max="7433" width="9.109375" style="1"/>
    <col min="7434" max="7434" width="14.33203125" style="1" bestFit="1" customWidth="1"/>
    <col min="7435" max="7435" width="15" style="1" bestFit="1" customWidth="1"/>
    <col min="7436" max="7436" width="13.6640625" style="1" bestFit="1" customWidth="1"/>
    <col min="7437" max="7680" width="9.109375" style="1"/>
    <col min="7681" max="7681" width="34.33203125" style="1" bestFit="1" customWidth="1"/>
    <col min="7682" max="7682" width="9.44140625" style="1" customWidth="1"/>
    <col min="7683" max="7683" width="7" style="1" customWidth="1"/>
    <col min="7684" max="7684" width="2.5546875" style="1" customWidth="1"/>
    <col min="7685" max="7685" width="26" style="1" customWidth="1"/>
    <col min="7686" max="7686" width="7.6640625" style="1" customWidth="1"/>
    <col min="7687" max="7689" width="9.109375" style="1"/>
    <col min="7690" max="7690" width="14.33203125" style="1" bestFit="1" customWidth="1"/>
    <col min="7691" max="7691" width="15" style="1" bestFit="1" customWidth="1"/>
    <col min="7692" max="7692" width="13.6640625" style="1" bestFit="1" customWidth="1"/>
    <col min="7693" max="7936" width="9.109375" style="1"/>
    <col min="7937" max="7937" width="34.33203125" style="1" bestFit="1" customWidth="1"/>
    <col min="7938" max="7938" width="9.44140625" style="1" customWidth="1"/>
    <col min="7939" max="7939" width="7" style="1" customWidth="1"/>
    <col min="7940" max="7940" width="2.5546875" style="1" customWidth="1"/>
    <col min="7941" max="7941" width="26" style="1" customWidth="1"/>
    <col min="7942" max="7942" width="7.6640625" style="1" customWidth="1"/>
    <col min="7943" max="7945" width="9.109375" style="1"/>
    <col min="7946" max="7946" width="14.33203125" style="1" bestFit="1" customWidth="1"/>
    <col min="7947" max="7947" width="15" style="1" bestFit="1" customWidth="1"/>
    <col min="7948" max="7948" width="13.6640625" style="1" bestFit="1" customWidth="1"/>
    <col min="7949" max="8192" width="9.109375" style="1"/>
    <col min="8193" max="8193" width="34.33203125" style="1" bestFit="1" customWidth="1"/>
    <col min="8194" max="8194" width="9.44140625" style="1" customWidth="1"/>
    <col min="8195" max="8195" width="7" style="1" customWidth="1"/>
    <col min="8196" max="8196" width="2.5546875" style="1" customWidth="1"/>
    <col min="8197" max="8197" width="26" style="1" customWidth="1"/>
    <col min="8198" max="8198" width="7.6640625" style="1" customWidth="1"/>
    <col min="8199" max="8201" width="9.109375" style="1"/>
    <col min="8202" max="8202" width="14.33203125" style="1" bestFit="1" customWidth="1"/>
    <col min="8203" max="8203" width="15" style="1" bestFit="1" customWidth="1"/>
    <col min="8204" max="8204" width="13.6640625" style="1" bestFit="1" customWidth="1"/>
    <col min="8205" max="8448" width="9.109375" style="1"/>
    <col min="8449" max="8449" width="34.33203125" style="1" bestFit="1" customWidth="1"/>
    <col min="8450" max="8450" width="9.44140625" style="1" customWidth="1"/>
    <col min="8451" max="8451" width="7" style="1" customWidth="1"/>
    <col min="8452" max="8452" width="2.5546875" style="1" customWidth="1"/>
    <col min="8453" max="8453" width="26" style="1" customWidth="1"/>
    <col min="8454" max="8454" width="7.6640625" style="1" customWidth="1"/>
    <col min="8455" max="8457" width="9.109375" style="1"/>
    <col min="8458" max="8458" width="14.33203125" style="1" bestFit="1" customWidth="1"/>
    <col min="8459" max="8459" width="15" style="1" bestFit="1" customWidth="1"/>
    <col min="8460" max="8460" width="13.6640625" style="1" bestFit="1" customWidth="1"/>
    <col min="8461" max="8704" width="9.109375" style="1"/>
    <col min="8705" max="8705" width="34.33203125" style="1" bestFit="1" customWidth="1"/>
    <col min="8706" max="8706" width="9.44140625" style="1" customWidth="1"/>
    <col min="8707" max="8707" width="7" style="1" customWidth="1"/>
    <col min="8708" max="8708" width="2.5546875" style="1" customWidth="1"/>
    <col min="8709" max="8709" width="26" style="1" customWidth="1"/>
    <col min="8710" max="8710" width="7.6640625" style="1" customWidth="1"/>
    <col min="8711" max="8713" width="9.109375" style="1"/>
    <col min="8714" max="8714" width="14.33203125" style="1" bestFit="1" customWidth="1"/>
    <col min="8715" max="8715" width="15" style="1" bestFit="1" customWidth="1"/>
    <col min="8716" max="8716" width="13.6640625" style="1" bestFit="1" customWidth="1"/>
    <col min="8717" max="8960" width="9.109375" style="1"/>
    <col min="8961" max="8961" width="34.33203125" style="1" bestFit="1" customWidth="1"/>
    <col min="8962" max="8962" width="9.44140625" style="1" customWidth="1"/>
    <col min="8963" max="8963" width="7" style="1" customWidth="1"/>
    <col min="8964" max="8964" width="2.5546875" style="1" customWidth="1"/>
    <col min="8965" max="8965" width="26" style="1" customWidth="1"/>
    <col min="8966" max="8966" width="7.6640625" style="1" customWidth="1"/>
    <col min="8967" max="8969" width="9.109375" style="1"/>
    <col min="8970" max="8970" width="14.33203125" style="1" bestFit="1" customWidth="1"/>
    <col min="8971" max="8971" width="15" style="1" bestFit="1" customWidth="1"/>
    <col min="8972" max="8972" width="13.6640625" style="1" bestFit="1" customWidth="1"/>
    <col min="8973" max="9216" width="9.109375" style="1"/>
    <col min="9217" max="9217" width="34.33203125" style="1" bestFit="1" customWidth="1"/>
    <col min="9218" max="9218" width="9.44140625" style="1" customWidth="1"/>
    <col min="9219" max="9219" width="7" style="1" customWidth="1"/>
    <col min="9220" max="9220" width="2.5546875" style="1" customWidth="1"/>
    <col min="9221" max="9221" width="26" style="1" customWidth="1"/>
    <col min="9222" max="9222" width="7.6640625" style="1" customWidth="1"/>
    <col min="9223" max="9225" width="9.109375" style="1"/>
    <col min="9226" max="9226" width="14.33203125" style="1" bestFit="1" customWidth="1"/>
    <col min="9227" max="9227" width="15" style="1" bestFit="1" customWidth="1"/>
    <col min="9228" max="9228" width="13.6640625" style="1" bestFit="1" customWidth="1"/>
    <col min="9229" max="9472" width="9.109375" style="1"/>
    <col min="9473" max="9473" width="34.33203125" style="1" bestFit="1" customWidth="1"/>
    <col min="9474" max="9474" width="9.44140625" style="1" customWidth="1"/>
    <col min="9475" max="9475" width="7" style="1" customWidth="1"/>
    <col min="9476" max="9476" width="2.5546875" style="1" customWidth="1"/>
    <col min="9477" max="9477" width="26" style="1" customWidth="1"/>
    <col min="9478" max="9478" width="7.6640625" style="1" customWidth="1"/>
    <col min="9479" max="9481" width="9.109375" style="1"/>
    <col min="9482" max="9482" width="14.33203125" style="1" bestFit="1" customWidth="1"/>
    <col min="9483" max="9483" width="15" style="1" bestFit="1" customWidth="1"/>
    <col min="9484" max="9484" width="13.6640625" style="1" bestFit="1" customWidth="1"/>
    <col min="9485" max="9728" width="9.109375" style="1"/>
    <col min="9729" max="9729" width="34.33203125" style="1" bestFit="1" customWidth="1"/>
    <col min="9730" max="9730" width="9.44140625" style="1" customWidth="1"/>
    <col min="9731" max="9731" width="7" style="1" customWidth="1"/>
    <col min="9732" max="9732" width="2.5546875" style="1" customWidth="1"/>
    <col min="9733" max="9733" width="26" style="1" customWidth="1"/>
    <col min="9734" max="9734" width="7.6640625" style="1" customWidth="1"/>
    <col min="9735" max="9737" width="9.109375" style="1"/>
    <col min="9738" max="9738" width="14.33203125" style="1" bestFit="1" customWidth="1"/>
    <col min="9739" max="9739" width="15" style="1" bestFit="1" customWidth="1"/>
    <col min="9740" max="9740" width="13.6640625" style="1" bestFit="1" customWidth="1"/>
    <col min="9741" max="9984" width="9.109375" style="1"/>
    <col min="9985" max="9985" width="34.33203125" style="1" bestFit="1" customWidth="1"/>
    <col min="9986" max="9986" width="9.44140625" style="1" customWidth="1"/>
    <col min="9987" max="9987" width="7" style="1" customWidth="1"/>
    <col min="9988" max="9988" width="2.5546875" style="1" customWidth="1"/>
    <col min="9989" max="9989" width="26" style="1" customWidth="1"/>
    <col min="9990" max="9990" width="7.6640625" style="1" customWidth="1"/>
    <col min="9991" max="9993" width="9.109375" style="1"/>
    <col min="9994" max="9994" width="14.33203125" style="1" bestFit="1" customWidth="1"/>
    <col min="9995" max="9995" width="15" style="1" bestFit="1" customWidth="1"/>
    <col min="9996" max="9996" width="13.6640625" style="1" bestFit="1" customWidth="1"/>
    <col min="9997" max="10240" width="9.109375" style="1"/>
    <col min="10241" max="10241" width="34.33203125" style="1" bestFit="1" customWidth="1"/>
    <col min="10242" max="10242" width="9.44140625" style="1" customWidth="1"/>
    <col min="10243" max="10243" width="7" style="1" customWidth="1"/>
    <col min="10244" max="10244" width="2.5546875" style="1" customWidth="1"/>
    <col min="10245" max="10245" width="26" style="1" customWidth="1"/>
    <col min="10246" max="10246" width="7.6640625" style="1" customWidth="1"/>
    <col min="10247" max="10249" width="9.109375" style="1"/>
    <col min="10250" max="10250" width="14.33203125" style="1" bestFit="1" customWidth="1"/>
    <col min="10251" max="10251" width="15" style="1" bestFit="1" customWidth="1"/>
    <col min="10252" max="10252" width="13.6640625" style="1" bestFit="1" customWidth="1"/>
    <col min="10253" max="10496" width="9.109375" style="1"/>
    <col min="10497" max="10497" width="34.33203125" style="1" bestFit="1" customWidth="1"/>
    <col min="10498" max="10498" width="9.44140625" style="1" customWidth="1"/>
    <col min="10499" max="10499" width="7" style="1" customWidth="1"/>
    <col min="10500" max="10500" width="2.5546875" style="1" customWidth="1"/>
    <col min="10501" max="10501" width="26" style="1" customWidth="1"/>
    <col min="10502" max="10502" width="7.6640625" style="1" customWidth="1"/>
    <col min="10503" max="10505" width="9.109375" style="1"/>
    <col min="10506" max="10506" width="14.33203125" style="1" bestFit="1" customWidth="1"/>
    <col min="10507" max="10507" width="15" style="1" bestFit="1" customWidth="1"/>
    <col min="10508" max="10508" width="13.6640625" style="1" bestFit="1" customWidth="1"/>
    <col min="10509" max="10752" width="9.109375" style="1"/>
    <col min="10753" max="10753" width="34.33203125" style="1" bestFit="1" customWidth="1"/>
    <col min="10754" max="10754" width="9.44140625" style="1" customWidth="1"/>
    <col min="10755" max="10755" width="7" style="1" customWidth="1"/>
    <col min="10756" max="10756" width="2.5546875" style="1" customWidth="1"/>
    <col min="10757" max="10757" width="26" style="1" customWidth="1"/>
    <col min="10758" max="10758" width="7.6640625" style="1" customWidth="1"/>
    <col min="10759" max="10761" width="9.109375" style="1"/>
    <col min="10762" max="10762" width="14.33203125" style="1" bestFit="1" customWidth="1"/>
    <col min="10763" max="10763" width="15" style="1" bestFit="1" customWidth="1"/>
    <col min="10764" max="10764" width="13.6640625" style="1" bestFit="1" customWidth="1"/>
    <col min="10765" max="11008" width="9.109375" style="1"/>
    <col min="11009" max="11009" width="34.33203125" style="1" bestFit="1" customWidth="1"/>
    <col min="11010" max="11010" width="9.44140625" style="1" customWidth="1"/>
    <col min="11011" max="11011" width="7" style="1" customWidth="1"/>
    <col min="11012" max="11012" width="2.5546875" style="1" customWidth="1"/>
    <col min="11013" max="11013" width="26" style="1" customWidth="1"/>
    <col min="11014" max="11014" width="7.6640625" style="1" customWidth="1"/>
    <col min="11015" max="11017" width="9.109375" style="1"/>
    <col min="11018" max="11018" width="14.33203125" style="1" bestFit="1" customWidth="1"/>
    <col min="11019" max="11019" width="15" style="1" bestFit="1" customWidth="1"/>
    <col min="11020" max="11020" width="13.6640625" style="1" bestFit="1" customWidth="1"/>
    <col min="11021" max="11264" width="9.109375" style="1"/>
    <col min="11265" max="11265" width="34.33203125" style="1" bestFit="1" customWidth="1"/>
    <col min="11266" max="11266" width="9.44140625" style="1" customWidth="1"/>
    <col min="11267" max="11267" width="7" style="1" customWidth="1"/>
    <col min="11268" max="11268" width="2.5546875" style="1" customWidth="1"/>
    <col min="11269" max="11269" width="26" style="1" customWidth="1"/>
    <col min="11270" max="11270" width="7.6640625" style="1" customWidth="1"/>
    <col min="11271" max="11273" width="9.109375" style="1"/>
    <col min="11274" max="11274" width="14.33203125" style="1" bestFit="1" customWidth="1"/>
    <col min="11275" max="11275" width="15" style="1" bestFit="1" customWidth="1"/>
    <col min="11276" max="11276" width="13.6640625" style="1" bestFit="1" customWidth="1"/>
    <col min="11277" max="11520" width="9.109375" style="1"/>
    <col min="11521" max="11521" width="34.33203125" style="1" bestFit="1" customWidth="1"/>
    <col min="11522" max="11522" width="9.44140625" style="1" customWidth="1"/>
    <col min="11523" max="11523" width="7" style="1" customWidth="1"/>
    <col min="11524" max="11524" width="2.5546875" style="1" customWidth="1"/>
    <col min="11525" max="11525" width="26" style="1" customWidth="1"/>
    <col min="11526" max="11526" width="7.6640625" style="1" customWidth="1"/>
    <col min="11527" max="11529" width="9.109375" style="1"/>
    <col min="11530" max="11530" width="14.33203125" style="1" bestFit="1" customWidth="1"/>
    <col min="11531" max="11531" width="15" style="1" bestFit="1" customWidth="1"/>
    <col min="11532" max="11532" width="13.6640625" style="1" bestFit="1" customWidth="1"/>
    <col min="11533" max="11776" width="9.109375" style="1"/>
    <col min="11777" max="11777" width="34.33203125" style="1" bestFit="1" customWidth="1"/>
    <col min="11778" max="11778" width="9.44140625" style="1" customWidth="1"/>
    <col min="11779" max="11779" width="7" style="1" customWidth="1"/>
    <col min="11780" max="11780" width="2.5546875" style="1" customWidth="1"/>
    <col min="11781" max="11781" width="26" style="1" customWidth="1"/>
    <col min="11782" max="11782" width="7.6640625" style="1" customWidth="1"/>
    <col min="11783" max="11785" width="9.109375" style="1"/>
    <col min="11786" max="11786" width="14.33203125" style="1" bestFit="1" customWidth="1"/>
    <col min="11787" max="11787" width="15" style="1" bestFit="1" customWidth="1"/>
    <col min="11788" max="11788" width="13.6640625" style="1" bestFit="1" customWidth="1"/>
    <col min="11789" max="12032" width="9.109375" style="1"/>
    <col min="12033" max="12033" width="34.33203125" style="1" bestFit="1" customWidth="1"/>
    <col min="12034" max="12034" width="9.44140625" style="1" customWidth="1"/>
    <col min="12035" max="12035" width="7" style="1" customWidth="1"/>
    <col min="12036" max="12036" width="2.5546875" style="1" customWidth="1"/>
    <col min="12037" max="12037" width="26" style="1" customWidth="1"/>
    <col min="12038" max="12038" width="7.6640625" style="1" customWidth="1"/>
    <col min="12039" max="12041" width="9.109375" style="1"/>
    <col min="12042" max="12042" width="14.33203125" style="1" bestFit="1" customWidth="1"/>
    <col min="12043" max="12043" width="15" style="1" bestFit="1" customWidth="1"/>
    <col min="12044" max="12044" width="13.6640625" style="1" bestFit="1" customWidth="1"/>
    <col min="12045" max="12288" width="9.109375" style="1"/>
    <col min="12289" max="12289" width="34.33203125" style="1" bestFit="1" customWidth="1"/>
    <col min="12290" max="12290" width="9.44140625" style="1" customWidth="1"/>
    <col min="12291" max="12291" width="7" style="1" customWidth="1"/>
    <col min="12292" max="12292" width="2.5546875" style="1" customWidth="1"/>
    <col min="12293" max="12293" width="26" style="1" customWidth="1"/>
    <col min="12294" max="12294" width="7.6640625" style="1" customWidth="1"/>
    <col min="12295" max="12297" width="9.109375" style="1"/>
    <col min="12298" max="12298" width="14.33203125" style="1" bestFit="1" customWidth="1"/>
    <col min="12299" max="12299" width="15" style="1" bestFit="1" customWidth="1"/>
    <col min="12300" max="12300" width="13.6640625" style="1" bestFit="1" customWidth="1"/>
    <col min="12301" max="12544" width="9.109375" style="1"/>
    <col min="12545" max="12545" width="34.33203125" style="1" bestFit="1" customWidth="1"/>
    <col min="12546" max="12546" width="9.44140625" style="1" customWidth="1"/>
    <col min="12547" max="12547" width="7" style="1" customWidth="1"/>
    <col min="12548" max="12548" width="2.5546875" style="1" customWidth="1"/>
    <col min="12549" max="12549" width="26" style="1" customWidth="1"/>
    <col min="12550" max="12550" width="7.6640625" style="1" customWidth="1"/>
    <col min="12551" max="12553" width="9.109375" style="1"/>
    <col min="12554" max="12554" width="14.33203125" style="1" bestFit="1" customWidth="1"/>
    <col min="12555" max="12555" width="15" style="1" bestFit="1" customWidth="1"/>
    <col min="12556" max="12556" width="13.6640625" style="1" bestFit="1" customWidth="1"/>
    <col min="12557" max="12800" width="9.109375" style="1"/>
    <col min="12801" max="12801" width="34.33203125" style="1" bestFit="1" customWidth="1"/>
    <col min="12802" max="12802" width="9.44140625" style="1" customWidth="1"/>
    <col min="12803" max="12803" width="7" style="1" customWidth="1"/>
    <col min="12804" max="12804" width="2.5546875" style="1" customWidth="1"/>
    <col min="12805" max="12805" width="26" style="1" customWidth="1"/>
    <col min="12806" max="12806" width="7.6640625" style="1" customWidth="1"/>
    <col min="12807" max="12809" width="9.109375" style="1"/>
    <col min="12810" max="12810" width="14.33203125" style="1" bestFit="1" customWidth="1"/>
    <col min="12811" max="12811" width="15" style="1" bestFit="1" customWidth="1"/>
    <col min="12812" max="12812" width="13.6640625" style="1" bestFit="1" customWidth="1"/>
    <col min="12813" max="13056" width="9.109375" style="1"/>
    <col min="13057" max="13057" width="34.33203125" style="1" bestFit="1" customWidth="1"/>
    <col min="13058" max="13058" width="9.44140625" style="1" customWidth="1"/>
    <col min="13059" max="13059" width="7" style="1" customWidth="1"/>
    <col min="13060" max="13060" width="2.5546875" style="1" customWidth="1"/>
    <col min="13061" max="13061" width="26" style="1" customWidth="1"/>
    <col min="13062" max="13062" width="7.6640625" style="1" customWidth="1"/>
    <col min="13063" max="13065" width="9.109375" style="1"/>
    <col min="13066" max="13066" width="14.33203125" style="1" bestFit="1" customWidth="1"/>
    <col min="13067" max="13067" width="15" style="1" bestFit="1" customWidth="1"/>
    <col min="13068" max="13068" width="13.6640625" style="1" bestFit="1" customWidth="1"/>
    <col min="13069" max="13312" width="9.109375" style="1"/>
    <col min="13313" max="13313" width="34.33203125" style="1" bestFit="1" customWidth="1"/>
    <col min="13314" max="13314" width="9.44140625" style="1" customWidth="1"/>
    <col min="13315" max="13315" width="7" style="1" customWidth="1"/>
    <col min="13316" max="13316" width="2.5546875" style="1" customWidth="1"/>
    <col min="13317" max="13317" width="26" style="1" customWidth="1"/>
    <col min="13318" max="13318" width="7.6640625" style="1" customWidth="1"/>
    <col min="13319" max="13321" width="9.109375" style="1"/>
    <col min="13322" max="13322" width="14.33203125" style="1" bestFit="1" customWidth="1"/>
    <col min="13323" max="13323" width="15" style="1" bestFit="1" customWidth="1"/>
    <col min="13324" max="13324" width="13.6640625" style="1" bestFit="1" customWidth="1"/>
    <col min="13325" max="13568" width="9.109375" style="1"/>
    <col min="13569" max="13569" width="34.33203125" style="1" bestFit="1" customWidth="1"/>
    <col min="13570" max="13570" width="9.44140625" style="1" customWidth="1"/>
    <col min="13571" max="13571" width="7" style="1" customWidth="1"/>
    <col min="13572" max="13572" width="2.5546875" style="1" customWidth="1"/>
    <col min="13573" max="13573" width="26" style="1" customWidth="1"/>
    <col min="13574" max="13574" width="7.6640625" style="1" customWidth="1"/>
    <col min="13575" max="13577" width="9.109375" style="1"/>
    <col min="13578" max="13578" width="14.33203125" style="1" bestFit="1" customWidth="1"/>
    <col min="13579" max="13579" width="15" style="1" bestFit="1" customWidth="1"/>
    <col min="13580" max="13580" width="13.6640625" style="1" bestFit="1" customWidth="1"/>
    <col min="13581" max="13824" width="9.109375" style="1"/>
    <col min="13825" max="13825" width="34.33203125" style="1" bestFit="1" customWidth="1"/>
    <col min="13826" max="13826" width="9.44140625" style="1" customWidth="1"/>
    <col min="13827" max="13827" width="7" style="1" customWidth="1"/>
    <col min="13828" max="13828" width="2.5546875" style="1" customWidth="1"/>
    <col min="13829" max="13829" width="26" style="1" customWidth="1"/>
    <col min="13830" max="13830" width="7.6640625" style="1" customWidth="1"/>
    <col min="13831" max="13833" width="9.109375" style="1"/>
    <col min="13834" max="13834" width="14.33203125" style="1" bestFit="1" customWidth="1"/>
    <col min="13835" max="13835" width="15" style="1" bestFit="1" customWidth="1"/>
    <col min="13836" max="13836" width="13.6640625" style="1" bestFit="1" customWidth="1"/>
    <col min="13837" max="14080" width="9.109375" style="1"/>
    <col min="14081" max="14081" width="34.33203125" style="1" bestFit="1" customWidth="1"/>
    <col min="14082" max="14082" width="9.44140625" style="1" customWidth="1"/>
    <col min="14083" max="14083" width="7" style="1" customWidth="1"/>
    <col min="14084" max="14084" width="2.5546875" style="1" customWidth="1"/>
    <col min="14085" max="14085" width="26" style="1" customWidth="1"/>
    <col min="14086" max="14086" width="7.6640625" style="1" customWidth="1"/>
    <col min="14087" max="14089" width="9.109375" style="1"/>
    <col min="14090" max="14090" width="14.33203125" style="1" bestFit="1" customWidth="1"/>
    <col min="14091" max="14091" width="15" style="1" bestFit="1" customWidth="1"/>
    <col min="14092" max="14092" width="13.6640625" style="1" bestFit="1" customWidth="1"/>
    <col min="14093" max="14336" width="9.109375" style="1"/>
    <col min="14337" max="14337" width="34.33203125" style="1" bestFit="1" customWidth="1"/>
    <col min="14338" max="14338" width="9.44140625" style="1" customWidth="1"/>
    <col min="14339" max="14339" width="7" style="1" customWidth="1"/>
    <col min="14340" max="14340" width="2.5546875" style="1" customWidth="1"/>
    <col min="14341" max="14341" width="26" style="1" customWidth="1"/>
    <col min="14342" max="14342" width="7.6640625" style="1" customWidth="1"/>
    <col min="14343" max="14345" width="9.109375" style="1"/>
    <col min="14346" max="14346" width="14.33203125" style="1" bestFit="1" customWidth="1"/>
    <col min="14347" max="14347" width="15" style="1" bestFit="1" customWidth="1"/>
    <col min="14348" max="14348" width="13.6640625" style="1" bestFit="1" customWidth="1"/>
    <col min="14349" max="14592" width="9.109375" style="1"/>
    <col min="14593" max="14593" width="34.33203125" style="1" bestFit="1" customWidth="1"/>
    <col min="14594" max="14594" width="9.44140625" style="1" customWidth="1"/>
    <col min="14595" max="14595" width="7" style="1" customWidth="1"/>
    <col min="14596" max="14596" width="2.5546875" style="1" customWidth="1"/>
    <col min="14597" max="14597" width="26" style="1" customWidth="1"/>
    <col min="14598" max="14598" width="7.6640625" style="1" customWidth="1"/>
    <col min="14599" max="14601" width="9.109375" style="1"/>
    <col min="14602" max="14602" width="14.33203125" style="1" bestFit="1" customWidth="1"/>
    <col min="14603" max="14603" width="15" style="1" bestFit="1" customWidth="1"/>
    <col min="14604" max="14604" width="13.6640625" style="1" bestFit="1" customWidth="1"/>
    <col min="14605" max="14848" width="9.109375" style="1"/>
    <col min="14849" max="14849" width="34.33203125" style="1" bestFit="1" customWidth="1"/>
    <col min="14850" max="14850" width="9.44140625" style="1" customWidth="1"/>
    <col min="14851" max="14851" width="7" style="1" customWidth="1"/>
    <col min="14852" max="14852" width="2.5546875" style="1" customWidth="1"/>
    <col min="14853" max="14853" width="26" style="1" customWidth="1"/>
    <col min="14854" max="14854" width="7.6640625" style="1" customWidth="1"/>
    <col min="14855" max="14857" width="9.109375" style="1"/>
    <col min="14858" max="14858" width="14.33203125" style="1" bestFit="1" customWidth="1"/>
    <col min="14859" max="14859" width="15" style="1" bestFit="1" customWidth="1"/>
    <col min="14860" max="14860" width="13.6640625" style="1" bestFit="1" customWidth="1"/>
    <col min="14861" max="15104" width="9.109375" style="1"/>
    <col min="15105" max="15105" width="34.33203125" style="1" bestFit="1" customWidth="1"/>
    <col min="15106" max="15106" width="9.44140625" style="1" customWidth="1"/>
    <col min="15107" max="15107" width="7" style="1" customWidth="1"/>
    <col min="15108" max="15108" width="2.5546875" style="1" customWidth="1"/>
    <col min="15109" max="15109" width="26" style="1" customWidth="1"/>
    <col min="15110" max="15110" width="7.6640625" style="1" customWidth="1"/>
    <col min="15111" max="15113" width="9.109375" style="1"/>
    <col min="15114" max="15114" width="14.33203125" style="1" bestFit="1" customWidth="1"/>
    <col min="15115" max="15115" width="15" style="1" bestFit="1" customWidth="1"/>
    <col min="15116" max="15116" width="13.6640625" style="1" bestFit="1" customWidth="1"/>
    <col min="15117" max="15360" width="9.109375" style="1"/>
    <col min="15361" max="15361" width="34.33203125" style="1" bestFit="1" customWidth="1"/>
    <col min="15362" max="15362" width="9.44140625" style="1" customWidth="1"/>
    <col min="15363" max="15363" width="7" style="1" customWidth="1"/>
    <col min="15364" max="15364" width="2.5546875" style="1" customWidth="1"/>
    <col min="15365" max="15365" width="26" style="1" customWidth="1"/>
    <col min="15366" max="15366" width="7.6640625" style="1" customWidth="1"/>
    <col min="15367" max="15369" width="9.109375" style="1"/>
    <col min="15370" max="15370" width="14.33203125" style="1" bestFit="1" customWidth="1"/>
    <col min="15371" max="15371" width="15" style="1" bestFit="1" customWidth="1"/>
    <col min="15372" max="15372" width="13.6640625" style="1" bestFit="1" customWidth="1"/>
    <col min="15373" max="15616" width="9.109375" style="1"/>
    <col min="15617" max="15617" width="34.33203125" style="1" bestFit="1" customWidth="1"/>
    <col min="15618" max="15618" width="9.44140625" style="1" customWidth="1"/>
    <col min="15619" max="15619" width="7" style="1" customWidth="1"/>
    <col min="15620" max="15620" width="2.5546875" style="1" customWidth="1"/>
    <col min="15621" max="15621" width="26" style="1" customWidth="1"/>
    <col min="15622" max="15622" width="7.6640625" style="1" customWidth="1"/>
    <col min="15623" max="15625" width="9.109375" style="1"/>
    <col min="15626" max="15626" width="14.33203125" style="1" bestFit="1" customWidth="1"/>
    <col min="15627" max="15627" width="15" style="1" bestFit="1" customWidth="1"/>
    <col min="15628" max="15628" width="13.6640625" style="1" bestFit="1" customWidth="1"/>
    <col min="15629" max="15872" width="9.109375" style="1"/>
    <col min="15873" max="15873" width="34.33203125" style="1" bestFit="1" customWidth="1"/>
    <col min="15874" max="15874" width="9.44140625" style="1" customWidth="1"/>
    <col min="15875" max="15875" width="7" style="1" customWidth="1"/>
    <col min="15876" max="15876" width="2.5546875" style="1" customWidth="1"/>
    <col min="15877" max="15877" width="26" style="1" customWidth="1"/>
    <col min="15878" max="15878" width="7.6640625" style="1" customWidth="1"/>
    <col min="15879" max="15881" width="9.109375" style="1"/>
    <col min="15882" max="15882" width="14.33203125" style="1" bestFit="1" customWidth="1"/>
    <col min="15883" max="15883" width="15" style="1" bestFit="1" customWidth="1"/>
    <col min="15884" max="15884" width="13.6640625" style="1" bestFit="1" customWidth="1"/>
    <col min="15885" max="16128" width="9.109375" style="1"/>
    <col min="16129" max="16129" width="34.33203125" style="1" bestFit="1" customWidth="1"/>
    <col min="16130" max="16130" width="9.44140625" style="1" customWidth="1"/>
    <col min="16131" max="16131" width="7" style="1" customWidth="1"/>
    <col min="16132" max="16132" width="2.5546875" style="1" customWidth="1"/>
    <col min="16133" max="16133" width="26" style="1" customWidth="1"/>
    <col min="16134" max="16134" width="7.6640625" style="1" customWidth="1"/>
    <col min="16135" max="16137" width="9.109375" style="1"/>
    <col min="16138" max="16138" width="14.33203125" style="1" bestFit="1" customWidth="1"/>
    <col min="16139" max="16139" width="15" style="1" bestFit="1" customWidth="1"/>
    <col min="16140" max="16140" width="13.6640625" style="1" bestFit="1" customWidth="1"/>
    <col min="16141" max="16384" width="9.109375" style="1"/>
  </cols>
  <sheetData>
    <row r="4" spans="1:15" ht="15" customHeight="1" x14ac:dyDescent="0.25"/>
    <row r="5" spans="1:15" ht="15" customHeight="1" x14ac:dyDescent="0.25"/>
    <row r="6" spans="1:15" ht="15" customHeight="1" x14ac:dyDescent="0.25"/>
    <row r="7" spans="1:15" ht="15" customHeight="1" x14ac:dyDescent="0.25"/>
    <row r="8" spans="1:15" ht="15" customHeight="1" x14ac:dyDescent="0.25"/>
    <row r="9" spans="1:15" ht="15" customHeight="1" x14ac:dyDescent="0.25"/>
    <row r="10" spans="1:15" ht="15" customHeight="1" x14ac:dyDescent="0.25"/>
    <row r="11" spans="1:15" ht="15" customHeight="1" x14ac:dyDescent="0.25"/>
    <row r="12" spans="1:15" ht="15" customHeight="1" x14ac:dyDescent="0.25"/>
    <row r="13" spans="1:15" ht="15" customHeight="1" thickBot="1" x14ac:dyDescent="0.3">
      <c r="A13" s="2"/>
      <c r="B13" s="2"/>
      <c r="C13" s="2"/>
      <c r="D13" s="2"/>
      <c r="E13" s="2"/>
      <c r="F13" s="2"/>
      <c r="G13" s="2"/>
      <c r="H13" s="2"/>
    </row>
    <row r="14" spans="1:15" x14ac:dyDescent="0.25">
      <c r="A14" s="3"/>
    </row>
    <row r="15" spans="1:15" x14ac:dyDescent="0.25">
      <c r="I15" s="3"/>
      <c r="J15" s="3"/>
      <c r="K15" s="3"/>
      <c r="L15" s="3"/>
      <c r="M15" s="3"/>
      <c r="N15" s="3"/>
      <c r="O15" s="3"/>
    </row>
    <row r="16" spans="1:15" ht="17.399999999999999" x14ac:dyDescent="0.3">
      <c r="A16" s="33" t="s">
        <v>0</v>
      </c>
      <c r="I16" s="3"/>
      <c r="J16" s="3"/>
      <c r="K16" s="3"/>
      <c r="L16" s="3"/>
      <c r="M16" s="3"/>
      <c r="N16" s="3"/>
      <c r="O16" s="3"/>
    </row>
    <row r="17" spans="1:15" ht="12.9" customHeight="1" x14ac:dyDescent="0.25">
      <c r="I17" s="3"/>
      <c r="J17" s="3"/>
      <c r="K17" s="3"/>
      <c r="L17" s="3"/>
      <c r="M17" s="3"/>
      <c r="N17" s="3"/>
      <c r="O17" s="3"/>
    </row>
    <row r="18" spans="1:15" ht="12.9" customHeight="1" x14ac:dyDescent="0.25">
      <c r="A18" s="1" t="s">
        <v>1</v>
      </c>
      <c r="B18" s="34">
        <v>2500</v>
      </c>
      <c r="C18" s="4" t="s">
        <v>2</v>
      </c>
      <c r="I18" s="3"/>
      <c r="J18" s="3"/>
      <c r="K18" s="3"/>
      <c r="L18" s="3"/>
      <c r="M18" s="3"/>
      <c r="N18" s="3"/>
      <c r="O18" s="3"/>
    </row>
    <row r="19" spans="1:15" ht="12.9" customHeight="1" x14ac:dyDescent="0.25">
      <c r="A19" s="1" t="s">
        <v>3</v>
      </c>
      <c r="B19" s="5">
        <v>2.8</v>
      </c>
      <c r="C19" s="4" t="s">
        <v>4</v>
      </c>
      <c r="E19" s="1" t="s">
        <v>5</v>
      </c>
      <c r="F19" s="35">
        <f>IF(Vin&lt;Vout, 1-(Vin + (Iout*((DCR+Ron_l+B36)/1000)))/(Vout+(Iout*((DCR-Ron_u+B36)/1000))),(Vout + (Iout*((DCR+B39+B42)/1000)))/(Vin+(Iout*((B39-B36)/1000))))</f>
        <v>0.22845953002610964</v>
      </c>
      <c r="G19" s="4"/>
      <c r="H19" s="6"/>
      <c r="I19" s="3"/>
      <c r="J19" s="3"/>
      <c r="K19" s="3"/>
      <c r="L19" s="3"/>
      <c r="M19" s="3"/>
      <c r="N19" s="3"/>
      <c r="O19" s="3"/>
    </row>
    <row r="20" spans="1:15" ht="12.9" customHeight="1" x14ac:dyDescent="0.25">
      <c r="A20" s="1" t="s">
        <v>6</v>
      </c>
      <c r="B20" s="5">
        <v>3.8</v>
      </c>
      <c r="C20" s="4" t="s">
        <v>4</v>
      </c>
      <c r="E20" s="1" t="s">
        <v>7</v>
      </c>
      <c r="F20" s="36">
        <f>Vout/Iout</f>
        <v>1.52</v>
      </c>
      <c r="G20" s="4" t="s">
        <v>8</v>
      </c>
      <c r="I20" s="3"/>
      <c r="J20" s="3"/>
      <c r="K20" s="3"/>
      <c r="L20" s="3"/>
      <c r="M20" s="3"/>
      <c r="N20" s="3"/>
      <c r="O20" s="3"/>
    </row>
    <row r="21" spans="1:15" ht="12.9" customHeight="1" x14ac:dyDescent="0.25">
      <c r="A21" s="1" t="s">
        <v>9</v>
      </c>
      <c r="B21" s="7">
        <v>2.5</v>
      </c>
      <c r="C21" s="4" t="s">
        <v>10</v>
      </c>
      <c r="I21" s="3"/>
      <c r="J21" s="3"/>
      <c r="K21" s="3"/>
      <c r="L21" s="3"/>
      <c r="M21" s="3"/>
      <c r="N21" s="3"/>
      <c r="O21" s="3"/>
    </row>
    <row r="22" spans="1:15" ht="12.9" customHeight="1" x14ac:dyDescent="0.25">
      <c r="B22" s="37"/>
      <c r="E22" s="1" t="str">
        <f>IF(Vin&lt;Vout,"Q3,rms", "Q1,rsm")</f>
        <v>Q3,rms</v>
      </c>
      <c r="F22" s="38">
        <f>IF(Vin&lt;Vout, Iin*SQRT(1-D)*SQRT(1+1/3*(Irip/2/Iout)^2), Iout*SQRT(D)*SQRT(1+1/3*(Irip/2/Iout)^2))</f>
        <v>2.8474108185217601</v>
      </c>
      <c r="G22" s="4" t="s">
        <v>10</v>
      </c>
      <c r="I22" s="3"/>
      <c r="J22" s="3"/>
      <c r="K22" s="3"/>
      <c r="L22" s="3"/>
      <c r="M22" s="3"/>
      <c r="N22" s="3"/>
      <c r="O22" s="3"/>
    </row>
    <row r="23" spans="1:15" ht="12.9" customHeight="1" x14ac:dyDescent="0.25">
      <c r="A23" s="39" t="s">
        <v>11</v>
      </c>
      <c r="B23" s="37"/>
      <c r="E23" s="1" t="str">
        <f>IF(Vin&lt;Vout,"Q4,rsm","Q2,rms")</f>
        <v>Q4,rsm</v>
      </c>
      <c r="F23" s="35">
        <f>IF(Vin&lt;Vout,Iin*SQRT(D)*SQRT(1+1/3*(Irip/2/Iout)^2),Iout*SQRT(1-D)*SQRT(1+1/3*(Irip/2/Iout)^2))</f>
        <v>1.5494423234802961</v>
      </c>
      <c r="G23" s="4" t="s">
        <v>10</v>
      </c>
      <c r="H23" s="8"/>
      <c r="I23" s="8"/>
      <c r="J23" s="8"/>
      <c r="K23" s="8"/>
      <c r="L23" s="8"/>
      <c r="M23" s="8"/>
      <c r="N23" s="3"/>
      <c r="O23" s="3"/>
    </row>
    <row r="24" spans="1:15" ht="12.9" customHeight="1" x14ac:dyDescent="0.25">
      <c r="A24" s="40" t="s">
        <v>12</v>
      </c>
      <c r="B24" s="9">
        <v>30</v>
      </c>
      <c r="C24" s="41" t="s">
        <v>13</v>
      </c>
      <c r="F24" s="42"/>
      <c r="H24" s="8"/>
      <c r="I24" s="8"/>
      <c r="J24" s="8"/>
      <c r="K24" s="8"/>
      <c r="L24" s="8"/>
      <c r="M24" s="8"/>
      <c r="N24" s="3"/>
      <c r="O24" s="3"/>
    </row>
    <row r="25" spans="1:15" ht="12.9" customHeight="1" x14ac:dyDescent="0.25">
      <c r="A25" s="40"/>
      <c r="B25" s="40"/>
      <c r="C25" s="40"/>
      <c r="F25" s="42"/>
      <c r="H25" s="8"/>
      <c r="I25" s="8"/>
      <c r="J25" s="8"/>
      <c r="K25" s="8"/>
      <c r="L25" s="8"/>
      <c r="M25" s="8"/>
      <c r="N25" s="3"/>
      <c r="O25" s="3"/>
    </row>
    <row r="26" spans="1:15" ht="15" customHeight="1" x14ac:dyDescent="0.25">
      <c r="A26" s="40" t="s">
        <v>14</v>
      </c>
      <c r="B26" s="34">
        <f>IF(Vin&lt;Vout, ((Vin*D)/((Fs*10^3)*Iin*(LIR/100)))*10^6,(((Vin-Vout)*D)/((Fs*10^3)*Iout*(LIR/100)))*10^6)</f>
        <v>0.26322355459509567</v>
      </c>
      <c r="C26" s="41" t="s">
        <v>15</v>
      </c>
      <c r="E26" s="1" t="s">
        <v>16</v>
      </c>
      <c r="F26" s="38">
        <f>IF(Vin&lt;Vout, Vin*D/(Lout*10^(-6)*Fs*10^3), (Vin-Vout)*((Vout)/(Vin*Lout*10^(-6)*Fs*10^3)))</f>
        <v>0.25587467362924277</v>
      </c>
      <c r="G26" s="4" t="s">
        <v>17</v>
      </c>
      <c r="H26" s="8"/>
      <c r="I26" s="8"/>
      <c r="J26" s="8"/>
      <c r="K26" s="8"/>
      <c r="L26" s="8"/>
      <c r="M26" s="8"/>
      <c r="N26" s="3"/>
      <c r="O26" s="3"/>
    </row>
    <row r="27" spans="1:15" ht="12.9" customHeight="1" x14ac:dyDescent="0.25">
      <c r="A27" s="1" t="s">
        <v>18</v>
      </c>
      <c r="B27" s="5">
        <v>1</v>
      </c>
      <c r="C27" s="4" t="s">
        <v>15</v>
      </c>
      <c r="E27" s="1" t="s">
        <v>19</v>
      </c>
      <c r="F27" s="38">
        <f>IF(Vin&lt;Vout, Iout/(1-D),Iout)</f>
        <v>3.2402707275803722</v>
      </c>
      <c r="G27" s="4" t="s">
        <v>10</v>
      </c>
      <c r="H27" s="8"/>
      <c r="I27" s="8"/>
      <c r="J27" s="8"/>
      <c r="K27" s="8" t="s">
        <v>20</v>
      </c>
      <c r="L27" s="8" t="s">
        <v>21</v>
      </c>
      <c r="M27" s="8"/>
      <c r="N27" s="3"/>
      <c r="O27" s="3"/>
    </row>
    <row r="28" spans="1:15" ht="12.9" customHeight="1" x14ac:dyDescent="0.25">
      <c r="A28" s="43" t="s">
        <v>22</v>
      </c>
      <c r="B28" s="11">
        <v>12</v>
      </c>
      <c r="C28" s="4" t="s">
        <v>23</v>
      </c>
      <c r="E28" s="1" t="s">
        <v>24</v>
      </c>
      <c r="F28" s="38">
        <f>IF(Vin&lt;Vout, Iout/(1-D)+Irip/2,Iout+Irip/2)</f>
        <v>3.3682080643949934</v>
      </c>
      <c r="G28" s="4" t="s">
        <v>10</v>
      </c>
      <c r="H28" s="8"/>
      <c r="I28" s="8"/>
      <c r="J28" s="8" t="s">
        <v>25</v>
      </c>
      <c r="K28" s="25">
        <f>IF(Vin&lt;Vout,B66,B61)</f>
        <v>0.26302945843872982</v>
      </c>
      <c r="L28" s="25">
        <f>IF(Vin&lt;Vout,0,B62+B63+B64+B65)</f>
        <v>0</v>
      </c>
      <c r="M28" s="25"/>
      <c r="N28" s="3"/>
      <c r="O28" s="3"/>
    </row>
    <row r="29" spans="1:15" ht="12.9" customHeight="1" x14ac:dyDescent="0.25">
      <c r="A29" s="43"/>
      <c r="B29" s="37"/>
      <c r="G29" s="40"/>
      <c r="H29" s="8"/>
      <c r="I29" s="8"/>
      <c r="J29" s="8" t="s">
        <v>26</v>
      </c>
      <c r="K29" s="25">
        <f>IF(Vin&lt;Vout,0,B78)</f>
        <v>0</v>
      </c>
      <c r="L29" s="25">
        <f>IF(Vin&lt;Vout,0,B79+B80+B81)</f>
        <v>0</v>
      </c>
      <c r="M29" s="25"/>
      <c r="N29" s="3"/>
      <c r="O29" s="3"/>
    </row>
    <row r="30" spans="1:15" ht="12.9" customHeight="1" x14ac:dyDescent="0.25">
      <c r="A30" s="39" t="s">
        <v>27</v>
      </c>
      <c r="B30" s="37"/>
      <c r="D30" s="40"/>
      <c r="E30" s="40"/>
      <c r="F30" s="40"/>
      <c r="G30" s="40"/>
      <c r="H30" s="8"/>
      <c r="I30" s="8"/>
      <c r="J30" s="8" t="s">
        <v>28</v>
      </c>
      <c r="K30" s="25">
        <f>IF(Vin&lt;Vout,B94,B100)</f>
        <v>0.20269370923586902</v>
      </c>
      <c r="L30" s="25">
        <f>IF(Vin&lt;Vout,B95+B96+B97+B98+B99,0)</f>
        <v>0.20785078510998309</v>
      </c>
      <c r="M30" s="25"/>
      <c r="N30" s="3"/>
      <c r="O30" s="3"/>
    </row>
    <row r="31" spans="1:15" ht="12.9" customHeight="1" x14ac:dyDescent="0.25">
      <c r="A31" s="1" t="s">
        <v>29</v>
      </c>
      <c r="B31" s="11">
        <v>3</v>
      </c>
      <c r="D31" s="40"/>
      <c r="E31" s="40"/>
      <c r="F31" s="40"/>
      <c r="G31" s="40"/>
      <c r="H31" s="8"/>
      <c r="I31" s="8"/>
      <c r="J31" s="8" t="s">
        <v>30</v>
      </c>
      <c r="K31" s="25">
        <f>IF(Vin&lt;Vout,B112,0)</f>
        <v>6.0019287844800456E-2</v>
      </c>
      <c r="L31" s="25">
        <f>IF(Vin&lt;Vout,B113+B114+B115,0)</f>
        <v>8.4720497461928931E-2</v>
      </c>
      <c r="M31" s="25"/>
      <c r="N31" s="3"/>
      <c r="O31" s="3"/>
    </row>
    <row r="32" spans="1:15" ht="12.9" customHeight="1" x14ac:dyDescent="0.25">
      <c r="A32" s="1" t="s">
        <v>31</v>
      </c>
      <c r="B32" s="11">
        <v>15</v>
      </c>
      <c r="C32" s="4" t="s">
        <v>32</v>
      </c>
      <c r="H32" s="8"/>
      <c r="I32" s="8"/>
      <c r="J32" s="8" t="s">
        <v>33</v>
      </c>
      <c r="K32" s="8"/>
      <c r="L32" s="25">
        <f>B126</f>
        <v>0.16805599999999998</v>
      </c>
      <c r="M32" s="25"/>
      <c r="N32" s="3"/>
      <c r="O32" s="3"/>
    </row>
    <row r="33" spans="1:15" ht="12.9" customHeight="1" x14ac:dyDescent="0.25">
      <c r="A33" s="1" t="s">
        <v>34</v>
      </c>
      <c r="B33" s="11">
        <v>5</v>
      </c>
      <c r="C33" s="4" t="s">
        <v>23</v>
      </c>
      <c r="H33" s="8"/>
      <c r="I33" s="8"/>
      <c r="J33" s="8" t="s">
        <v>35</v>
      </c>
      <c r="K33" s="25">
        <f>B130</f>
        <v>0.12605772450477568</v>
      </c>
      <c r="L33" s="25">
        <f>B129</f>
        <v>6.0104348694528858E-3</v>
      </c>
      <c r="M33" s="25"/>
      <c r="N33" s="3"/>
      <c r="O33" s="3"/>
    </row>
    <row r="34" spans="1:15" ht="12.9" customHeight="1" x14ac:dyDescent="0.25">
      <c r="B34" s="44"/>
      <c r="H34" s="8"/>
      <c r="I34" s="8"/>
      <c r="J34" s="8" t="s">
        <v>36</v>
      </c>
      <c r="K34" s="45">
        <f>B134</f>
        <v>4.0012858563200308E-3</v>
      </c>
      <c r="L34" s="8"/>
      <c r="M34" s="8"/>
      <c r="N34" s="3"/>
      <c r="O34" s="3"/>
    </row>
    <row r="35" spans="1:15" ht="12.9" customHeight="1" x14ac:dyDescent="0.25">
      <c r="A35" s="39" t="s">
        <v>182</v>
      </c>
      <c r="H35" s="8"/>
      <c r="I35" s="8"/>
      <c r="J35" s="8"/>
      <c r="K35" s="8"/>
      <c r="L35" s="8"/>
      <c r="M35" s="25"/>
      <c r="N35" s="3"/>
      <c r="O35" s="3"/>
    </row>
    <row r="36" spans="1:15" ht="12.9" customHeight="1" x14ac:dyDescent="0.25">
      <c r="A36" s="1" t="s">
        <v>37</v>
      </c>
      <c r="B36" s="46">
        <v>25</v>
      </c>
      <c r="C36" s="4" t="s">
        <v>23</v>
      </c>
      <c r="E36" s="6"/>
      <c r="H36" s="8"/>
      <c r="I36" s="8"/>
      <c r="J36" s="8"/>
      <c r="K36" s="8"/>
      <c r="L36" s="8"/>
      <c r="M36" s="8"/>
      <c r="N36" s="3"/>
      <c r="O36" s="3"/>
    </row>
    <row r="37" spans="1:15" ht="12.9" customHeight="1" x14ac:dyDescent="0.25">
      <c r="B37" s="44"/>
      <c r="E37" s="6"/>
      <c r="H37" s="8"/>
      <c r="I37" s="8"/>
      <c r="J37" s="8"/>
      <c r="K37" s="8"/>
      <c r="L37" s="8"/>
      <c r="M37" s="8"/>
      <c r="N37" s="3"/>
      <c r="O37" s="3"/>
    </row>
    <row r="38" spans="1:15" ht="12.9" customHeight="1" x14ac:dyDescent="0.25">
      <c r="A38" s="39" t="s">
        <v>183</v>
      </c>
      <c r="B38" s="44"/>
      <c r="E38" s="6"/>
      <c r="H38" s="8"/>
      <c r="I38" s="8"/>
      <c r="J38" s="8"/>
      <c r="K38" s="8"/>
      <c r="L38" s="8"/>
      <c r="M38" s="8"/>
      <c r="N38" s="3"/>
      <c r="O38" s="3"/>
    </row>
    <row r="39" spans="1:15" ht="12.9" customHeight="1" x14ac:dyDescent="0.25">
      <c r="A39" s="1" t="s">
        <v>37</v>
      </c>
      <c r="B39" s="46">
        <v>25</v>
      </c>
      <c r="C39" s="4" t="s">
        <v>23</v>
      </c>
      <c r="E39" s="6"/>
      <c r="I39" s="3"/>
      <c r="J39" s="3"/>
      <c r="K39" s="3"/>
      <c r="L39" s="3"/>
      <c r="M39" s="3"/>
      <c r="N39" s="3"/>
      <c r="O39" s="3"/>
    </row>
    <row r="40" spans="1:15" ht="12.9" customHeight="1" x14ac:dyDescent="0.25">
      <c r="B40" s="70"/>
      <c r="C40" s="20"/>
      <c r="E40" s="6"/>
      <c r="I40" s="3"/>
      <c r="J40" s="3"/>
      <c r="K40" s="3"/>
      <c r="L40" s="3"/>
      <c r="M40" s="3"/>
      <c r="N40" s="3"/>
      <c r="O40" s="3"/>
    </row>
    <row r="41" spans="1:15" ht="12.9" customHeight="1" x14ac:dyDescent="0.25">
      <c r="A41" s="39" t="s">
        <v>184</v>
      </c>
      <c r="B41" s="44"/>
      <c r="I41" s="3"/>
      <c r="J41" s="3"/>
      <c r="K41" s="3"/>
      <c r="L41" s="3"/>
      <c r="M41" s="3"/>
      <c r="N41" s="3"/>
      <c r="O41" s="3"/>
    </row>
    <row r="42" spans="1:15" ht="12.9" customHeight="1" x14ac:dyDescent="0.25">
      <c r="A42" s="1" t="s">
        <v>38</v>
      </c>
      <c r="B42" s="46">
        <v>25</v>
      </c>
      <c r="C42" s="4" t="s">
        <v>23</v>
      </c>
      <c r="E42" s="6"/>
      <c r="I42" s="3"/>
      <c r="J42" s="3"/>
      <c r="K42" s="3"/>
      <c r="L42" s="3"/>
      <c r="M42" s="3"/>
      <c r="N42" s="3"/>
      <c r="O42" s="3"/>
    </row>
    <row r="43" spans="1:15" ht="12.9" customHeight="1" x14ac:dyDescent="0.25">
      <c r="B43" s="44"/>
      <c r="E43" s="6"/>
      <c r="I43" s="3"/>
      <c r="J43" s="3"/>
      <c r="K43" s="3"/>
      <c r="L43" s="3"/>
      <c r="M43" s="3"/>
      <c r="N43" s="3"/>
      <c r="O43" s="3"/>
    </row>
    <row r="44" spans="1:15" ht="12.9" customHeight="1" x14ac:dyDescent="0.25">
      <c r="A44" s="39" t="s">
        <v>185</v>
      </c>
      <c r="B44" s="44"/>
      <c r="E44" s="6"/>
      <c r="F44" s="1" t="str">
        <f>IF(Vin&lt;Vout, "Boost Mode","Buck Mode")</f>
        <v>Boost Mode</v>
      </c>
      <c r="I44" s="3"/>
      <c r="J44" s="3"/>
      <c r="K44" s="3"/>
      <c r="L44" s="3"/>
      <c r="M44" s="3"/>
      <c r="N44" s="3"/>
      <c r="O44" s="3"/>
    </row>
    <row r="45" spans="1:15" ht="12.9" customHeight="1" x14ac:dyDescent="0.25">
      <c r="A45" s="1" t="s">
        <v>37</v>
      </c>
      <c r="B45" s="46">
        <v>25</v>
      </c>
      <c r="C45" s="4" t="s">
        <v>23</v>
      </c>
      <c r="E45" s="47" t="s">
        <v>39</v>
      </c>
      <c r="F45" s="69">
        <v>50</v>
      </c>
      <c r="G45" s="48" t="s">
        <v>40</v>
      </c>
      <c r="I45" s="3"/>
      <c r="J45" s="3"/>
      <c r="K45" s="3"/>
      <c r="L45" s="3"/>
      <c r="M45" s="3"/>
      <c r="N45" s="3"/>
      <c r="O45" s="3"/>
    </row>
    <row r="46" spans="1:15" ht="12.9" customHeight="1" x14ac:dyDescent="0.25">
      <c r="B46" s="44"/>
      <c r="E46" s="47" t="s">
        <v>41</v>
      </c>
      <c r="F46" s="69">
        <v>25</v>
      </c>
      <c r="G46" s="48" t="s">
        <v>42</v>
      </c>
      <c r="I46" s="3"/>
      <c r="J46" s="3"/>
      <c r="K46" s="3"/>
      <c r="L46" s="3"/>
      <c r="M46" s="3"/>
      <c r="N46" s="3"/>
      <c r="O46" s="3"/>
    </row>
    <row r="47" spans="1:15" ht="12.9" customHeight="1" x14ac:dyDescent="0.3">
      <c r="A47" s="49" t="s">
        <v>43</v>
      </c>
      <c r="B47" s="50">
        <f>Tloss</f>
        <v>1.1224391833218599</v>
      </c>
      <c r="C47" s="51" t="s">
        <v>44</v>
      </c>
      <c r="E47" s="47" t="s">
        <v>186</v>
      </c>
      <c r="F47" s="52">
        <f>+F45*F48+F46</f>
        <v>74.31848690456556</v>
      </c>
      <c r="G47" s="48" t="s">
        <v>42</v>
      </c>
      <c r="K47" s="3"/>
      <c r="L47" s="3"/>
      <c r="M47" s="3"/>
      <c r="N47" s="3"/>
      <c r="O47" s="3"/>
    </row>
    <row r="48" spans="1:15" ht="12.9" customHeight="1" x14ac:dyDescent="0.3">
      <c r="A48" s="49" t="s">
        <v>45</v>
      </c>
      <c r="B48" s="50">
        <f>Efficiency</f>
        <v>89.433319749345472</v>
      </c>
      <c r="C48" s="51" t="s">
        <v>13</v>
      </c>
      <c r="E48" s="1" t="s">
        <v>46</v>
      </c>
      <c r="F48" s="53">
        <f>+K28+L28+K29+L29+K30+L30+K31+L31+L32</f>
        <v>0.98636973809131134</v>
      </c>
      <c r="G48" s="54" t="s">
        <v>47</v>
      </c>
      <c r="J48" s="37"/>
    </row>
    <row r="49" spans="1:35" ht="12.9" customHeight="1" thickBot="1" x14ac:dyDescent="0.3">
      <c r="A49" s="2"/>
      <c r="B49" s="55"/>
      <c r="C49" s="2"/>
      <c r="D49" s="2"/>
      <c r="E49" s="2"/>
      <c r="F49" s="2"/>
      <c r="G49" s="2"/>
      <c r="H49" s="2"/>
    </row>
    <row r="50" spans="1:35" s="12" customFormat="1" ht="12.9" customHeight="1" x14ac:dyDescent="0.25">
      <c r="A50" s="3"/>
      <c r="B50" s="56"/>
      <c r="C50" s="3"/>
      <c r="D50" s="3"/>
      <c r="E50" s="3"/>
      <c r="F50" s="3"/>
      <c r="G50" s="3"/>
      <c r="H50" s="3"/>
      <c r="I50" s="3"/>
      <c r="J50" s="1"/>
      <c r="K50" s="1"/>
      <c r="L50" s="1"/>
    </row>
    <row r="51" spans="1:35" s="14" customFormat="1" ht="26.25" customHeight="1" x14ac:dyDescent="0.5">
      <c r="A51" s="57" t="s">
        <v>48</v>
      </c>
      <c r="B51" s="13" t="str">
        <f>IF(Vin&lt;Vout, "Boost Mode","Buck Mode")</f>
        <v>Boost Mode</v>
      </c>
      <c r="C51" s="3"/>
      <c r="D51" s="3"/>
      <c r="E51" s="3"/>
      <c r="F51" s="3"/>
      <c r="G51" s="3"/>
      <c r="H51" s="3"/>
      <c r="I51" s="3"/>
      <c r="J51" s="1"/>
      <c r="K51" s="1"/>
      <c r="L51" s="1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</row>
    <row r="52" spans="1:35" s="14" customFormat="1" ht="12.9" customHeight="1" x14ac:dyDescent="0.25">
      <c r="A52" s="8" t="s">
        <v>49</v>
      </c>
      <c r="B52" s="8">
        <f>B36</f>
        <v>25</v>
      </c>
      <c r="C52" s="8" t="s">
        <v>23</v>
      </c>
      <c r="D52" s="8"/>
      <c r="E52" s="8"/>
      <c r="F52" s="8"/>
      <c r="G52" s="8"/>
      <c r="H52" s="8"/>
      <c r="I52" s="8"/>
      <c r="J52" s="8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1:35" s="14" customFormat="1" ht="12.9" customHeight="1" x14ac:dyDescent="0.25">
      <c r="A53" s="8" t="s">
        <v>50</v>
      </c>
      <c r="B53" s="8">
        <v>1.2</v>
      </c>
      <c r="C53" s="8" t="s">
        <v>4</v>
      </c>
      <c r="D53" s="8"/>
      <c r="E53" s="8"/>
      <c r="F53" s="8"/>
      <c r="G53" s="8"/>
      <c r="H53" s="8"/>
      <c r="I53" s="8"/>
      <c r="J53" s="8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1:35" s="14" customFormat="1" ht="12.9" customHeight="1" x14ac:dyDescent="0.25">
      <c r="A54" s="8" t="s">
        <v>51</v>
      </c>
      <c r="B54" s="8">
        <v>0.2</v>
      </c>
      <c r="C54" s="8" t="s">
        <v>52</v>
      </c>
      <c r="D54" s="8"/>
      <c r="E54" s="8"/>
      <c r="F54" s="8"/>
      <c r="G54" s="8"/>
      <c r="H54" s="8"/>
      <c r="I54" s="8"/>
      <c r="J54" s="8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</row>
    <row r="55" spans="1:35" s="14" customFormat="1" ht="12.9" customHeight="1" x14ac:dyDescent="0.25">
      <c r="A55" s="8" t="s">
        <v>53</v>
      </c>
      <c r="B55" s="58">
        <f>+E55/B52</f>
        <v>12</v>
      </c>
      <c r="C55" s="8" t="s">
        <v>52</v>
      </c>
      <c r="D55" s="8" t="s">
        <v>54</v>
      </c>
      <c r="E55" s="8">
        <v>300</v>
      </c>
      <c r="F55" s="8" t="s">
        <v>55</v>
      </c>
      <c r="G55" s="8"/>
      <c r="H55" s="8"/>
      <c r="I55" s="8"/>
      <c r="J55" s="8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</row>
    <row r="56" spans="1:35" s="14" customFormat="1" ht="12.9" customHeight="1" x14ac:dyDescent="0.25">
      <c r="A56" s="8" t="s">
        <v>56</v>
      </c>
      <c r="B56" s="59">
        <f>+E56/B52</f>
        <v>1.6</v>
      </c>
      <c r="C56" s="8" t="s">
        <v>57</v>
      </c>
      <c r="D56" s="8" t="s">
        <v>58</v>
      </c>
      <c r="E56" s="31">
        <v>40</v>
      </c>
      <c r="F56" s="8" t="s">
        <v>59</v>
      </c>
      <c r="G56" s="8"/>
      <c r="H56" s="8"/>
      <c r="I56" s="8"/>
      <c r="J56" s="8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</row>
    <row r="57" spans="1:35" s="14" customFormat="1" ht="12.9" customHeight="1" x14ac:dyDescent="0.25">
      <c r="A57" s="8" t="s">
        <v>60</v>
      </c>
      <c r="B57" s="60">
        <f>+E57/B52</f>
        <v>0.28000000000000003</v>
      </c>
      <c r="C57" s="8" t="s">
        <v>57</v>
      </c>
      <c r="D57" s="8" t="s">
        <v>61</v>
      </c>
      <c r="E57" s="31">
        <v>7</v>
      </c>
      <c r="F57" s="8" t="s">
        <v>59</v>
      </c>
      <c r="G57" s="8"/>
      <c r="H57" s="8"/>
      <c r="I57" s="8"/>
      <c r="J57" s="8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</row>
    <row r="58" spans="1:35" s="14" customFormat="1" ht="12.9" customHeight="1" x14ac:dyDescent="0.25">
      <c r="A58" s="8" t="s">
        <v>62</v>
      </c>
      <c r="B58" s="8">
        <v>4</v>
      </c>
      <c r="C58" s="8" t="s">
        <v>63</v>
      </c>
      <c r="D58" s="8" t="s">
        <v>64</v>
      </c>
      <c r="E58" s="8"/>
      <c r="F58" s="8"/>
      <c r="G58" s="8"/>
      <c r="H58" s="8"/>
      <c r="I58" s="8"/>
      <c r="J58" s="8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</row>
    <row r="59" spans="1:35" s="14" customFormat="1" ht="12.9" customHeight="1" x14ac:dyDescent="0.25">
      <c r="A59" s="8" t="s">
        <v>65</v>
      </c>
      <c r="B59" s="8">
        <v>4</v>
      </c>
      <c r="C59" s="8" t="s">
        <v>63</v>
      </c>
      <c r="D59" s="8" t="s">
        <v>66</v>
      </c>
      <c r="E59" s="8"/>
      <c r="F59" s="8"/>
      <c r="G59" s="8"/>
      <c r="H59" s="8"/>
      <c r="I59" s="8"/>
      <c r="J59" s="8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</row>
    <row r="60" spans="1:35" s="14" customFormat="1" ht="12.9" customHeight="1" x14ac:dyDescent="0.25">
      <c r="A60" s="61" t="s">
        <v>67</v>
      </c>
      <c r="B60" s="62">
        <v>1</v>
      </c>
      <c r="C60" s="8"/>
      <c r="D60" s="8" t="s">
        <v>68</v>
      </c>
      <c r="E60" s="8"/>
      <c r="F60" s="8"/>
      <c r="G60" s="8"/>
      <c r="H60" s="8"/>
      <c r="I60" s="8"/>
      <c r="J60" s="8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</row>
    <row r="61" spans="1:35" s="14" customFormat="1" ht="12.9" customHeight="1" x14ac:dyDescent="0.25">
      <c r="A61" s="8" t="s">
        <v>69</v>
      </c>
      <c r="B61" s="25">
        <f>Iu_rms^2*B52/B60/1000</f>
        <v>0.20269370923586902</v>
      </c>
      <c r="C61" s="8" t="s">
        <v>47</v>
      </c>
      <c r="D61" s="8" t="s">
        <v>70</v>
      </c>
      <c r="E61" s="8"/>
      <c r="F61" s="8"/>
      <c r="G61" s="8"/>
      <c r="H61" s="8"/>
      <c r="I61" s="8"/>
      <c r="J61" s="8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1:35" s="14" customFormat="1" ht="12.9" customHeight="1" x14ac:dyDescent="0.25">
      <c r="A62" s="8" t="s">
        <v>71</v>
      </c>
      <c r="B62" s="63">
        <f>ABS(Vin*(Iin-0.5*Irip)*B58*10^(-9)*Fs*10^(3)/2)</f>
        <v>4.3572667470720507E-2</v>
      </c>
      <c r="C62" s="8" t="s">
        <v>47</v>
      </c>
      <c r="D62" s="8" t="s">
        <v>72</v>
      </c>
      <c r="E62" s="8"/>
      <c r="F62" s="8"/>
      <c r="G62" s="8"/>
      <c r="H62" s="8"/>
      <c r="I62" s="8"/>
      <c r="J62" s="8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1:35" s="14" customFormat="1" ht="12.9" customHeight="1" x14ac:dyDescent="0.25">
      <c r="A63" s="8" t="s">
        <v>73</v>
      </c>
      <c r="B63" s="25">
        <f>Vin*(Iin+0.5*Irip)*B59*10^(-9)*Fs*10^(3)/2</f>
        <v>4.7154912901529913E-2</v>
      </c>
      <c r="C63" s="8" t="s">
        <v>47</v>
      </c>
      <c r="D63" s="8" t="s">
        <v>74</v>
      </c>
      <c r="E63" s="8"/>
      <c r="F63" s="8"/>
      <c r="G63" s="8"/>
      <c r="H63" s="8"/>
      <c r="I63" s="8"/>
      <c r="J63" s="8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1:35" s="14" customFormat="1" ht="12.9" customHeight="1" x14ac:dyDescent="0.25">
      <c r="A64" s="8" t="s">
        <v>75</v>
      </c>
      <c r="B64" s="25">
        <f>Vin*Fs*10^3*B54*10^(-9)*B60</f>
        <v>1.4E-3</v>
      </c>
      <c r="C64" s="8" t="s">
        <v>47</v>
      </c>
      <c r="D64" s="8" t="s">
        <v>76</v>
      </c>
      <c r="E64" s="8"/>
      <c r="F64" s="8"/>
      <c r="G64" s="8"/>
      <c r="H64" s="8"/>
      <c r="I64" s="8"/>
      <c r="J64" s="8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1:35" s="14" customFormat="1" ht="12.9" customHeight="1" x14ac:dyDescent="0.25">
      <c r="A65" s="8" t="s">
        <v>77</v>
      </c>
      <c r="B65" s="25">
        <f>0.5*B57*10^(-9)*Vin^2*Fs*10^3*B60</f>
        <v>2.7440000000000008E-3</v>
      </c>
      <c r="C65" s="8" t="s">
        <v>47</v>
      </c>
      <c r="D65" s="8" t="s">
        <v>78</v>
      </c>
      <c r="E65" s="8"/>
      <c r="F65" s="8"/>
      <c r="G65" s="8"/>
      <c r="H65" s="8"/>
      <c r="I65" s="8"/>
      <c r="J65" s="8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</row>
    <row r="66" spans="1:35" s="14" customFormat="1" ht="12.9" customHeight="1" x14ac:dyDescent="0.25">
      <c r="A66" s="8" t="s">
        <v>79</v>
      </c>
      <c r="B66" s="25">
        <f>IF(Vin&lt;Vout, B52/1000*(Iin*SQRT(1+1/3*(Irip/Iin)^2))^2, SUM(B61:B65))</f>
        <v>0.26302945843872982</v>
      </c>
      <c r="C66" s="8" t="s">
        <v>47</v>
      </c>
      <c r="D66" s="8" t="s">
        <v>80</v>
      </c>
      <c r="E66" s="8"/>
      <c r="F66" s="8"/>
      <c r="G66" s="8"/>
      <c r="H66" s="8"/>
      <c r="I66" s="8"/>
      <c r="J66" s="8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</row>
    <row r="67" spans="1:35" s="14" customFormat="1" ht="12.9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1:35" s="14" customFormat="1" ht="12.9" customHeight="1" x14ac:dyDescent="0.25">
      <c r="A68" s="57" t="s">
        <v>81</v>
      </c>
      <c r="B68" s="8"/>
      <c r="C68" s="8"/>
      <c r="D68" s="8"/>
      <c r="E68" s="8"/>
      <c r="F68" s="8"/>
      <c r="G68" s="8"/>
      <c r="H68" s="8"/>
      <c r="I68" s="8"/>
      <c r="J68" s="8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spans="1:35" s="14" customFormat="1" ht="12.9" customHeight="1" x14ac:dyDescent="0.25">
      <c r="A69" s="8" t="s">
        <v>82</v>
      </c>
      <c r="B69" s="62">
        <f>B39</f>
        <v>25</v>
      </c>
      <c r="C69" s="8" t="s">
        <v>23</v>
      </c>
      <c r="D69" s="8"/>
      <c r="E69" s="8"/>
      <c r="F69" s="8"/>
      <c r="G69" s="8"/>
      <c r="H69" s="8"/>
      <c r="I69" s="8"/>
      <c r="J69" s="25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</row>
    <row r="70" spans="1:35" s="14" customFormat="1" ht="12.9" customHeight="1" x14ac:dyDescent="0.25">
      <c r="A70" s="8" t="s">
        <v>50</v>
      </c>
      <c r="B70" s="8">
        <v>1.2</v>
      </c>
      <c r="C70" s="8" t="s">
        <v>4</v>
      </c>
      <c r="D70" s="8"/>
      <c r="E70" s="8"/>
      <c r="F70" s="8"/>
      <c r="G70" s="8"/>
      <c r="H70" s="8"/>
      <c r="I70" s="8"/>
      <c r="J70" s="8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</row>
    <row r="71" spans="1:35" s="14" customFormat="1" ht="12.9" customHeight="1" x14ac:dyDescent="0.25">
      <c r="A71" s="8" t="s">
        <v>51</v>
      </c>
      <c r="B71" s="8">
        <v>0.2</v>
      </c>
      <c r="C71" s="8" t="s">
        <v>52</v>
      </c>
      <c r="D71" s="8"/>
      <c r="E71" s="8"/>
      <c r="F71" s="8"/>
      <c r="G71" s="8"/>
      <c r="H71" s="8"/>
      <c r="I71" s="8"/>
      <c r="J71" s="8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</row>
    <row r="72" spans="1:35" s="14" customFormat="1" ht="12.9" customHeight="1" x14ac:dyDescent="0.25">
      <c r="A72" s="8" t="s">
        <v>53</v>
      </c>
      <c r="B72" s="8">
        <f>+E72/B69</f>
        <v>12</v>
      </c>
      <c r="C72" s="8" t="s">
        <v>52</v>
      </c>
      <c r="D72" s="8" t="s">
        <v>54</v>
      </c>
      <c r="E72" s="8">
        <v>300</v>
      </c>
      <c r="F72" s="8" t="s">
        <v>55</v>
      </c>
      <c r="G72" s="8"/>
      <c r="H72" s="8"/>
      <c r="I72" s="8"/>
      <c r="J72" s="8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</row>
    <row r="73" spans="1:35" s="14" customFormat="1" ht="12.9" customHeight="1" x14ac:dyDescent="0.25">
      <c r="A73" s="8" t="s">
        <v>56</v>
      </c>
      <c r="B73" s="64">
        <f>+E73/B69</f>
        <v>1.6</v>
      </c>
      <c r="C73" s="8" t="s">
        <v>57</v>
      </c>
      <c r="D73" s="8" t="s">
        <v>58</v>
      </c>
      <c r="E73" s="31">
        <v>40</v>
      </c>
      <c r="F73" s="8" t="s">
        <v>59</v>
      </c>
      <c r="G73" s="8"/>
      <c r="H73" s="8"/>
      <c r="I73" s="8"/>
      <c r="J73" s="8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</row>
    <row r="74" spans="1:35" s="14" customFormat="1" ht="12.9" customHeight="1" x14ac:dyDescent="0.25">
      <c r="A74" s="8" t="s">
        <v>60</v>
      </c>
      <c r="B74" s="60">
        <f>+E74/B69</f>
        <v>0.28000000000000003</v>
      </c>
      <c r="C74" s="8" t="s">
        <v>57</v>
      </c>
      <c r="D74" s="8" t="s">
        <v>61</v>
      </c>
      <c r="E74" s="31">
        <v>7</v>
      </c>
      <c r="F74" s="8" t="s">
        <v>59</v>
      </c>
      <c r="G74" s="8"/>
      <c r="H74" s="8"/>
      <c r="I74" s="8"/>
      <c r="J74" s="8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</row>
    <row r="75" spans="1:35" s="14" customFormat="1" ht="12.9" customHeight="1" x14ac:dyDescent="0.25">
      <c r="A75" s="8" t="s">
        <v>83</v>
      </c>
      <c r="B75" s="8">
        <v>4</v>
      </c>
      <c r="C75" s="8" t="s">
        <v>63</v>
      </c>
      <c r="D75" s="8" t="s">
        <v>84</v>
      </c>
      <c r="E75" s="8"/>
      <c r="F75" s="8"/>
      <c r="G75" s="8"/>
      <c r="H75" s="8"/>
      <c r="I75" s="8"/>
      <c r="J75" s="8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</row>
    <row r="76" spans="1:35" s="14" customFormat="1" ht="12.9" customHeight="1" x14ac:dyDescent="0.25">
      <c r="A76" s="8" t="s">
        <v>85</v>
      </c>
      <c r="B76" s="8">
        <v>4</v>
      </c>
      <c r="C76" s="8" t="s">
        <v>63</v>
      </c>
      <c r="D76" s="8" t="s">
        <v>86</v>
      </c>
      <c r="E76" s="8"/>
      <c r="F76" s="8"/>
      <c r="G76" s="8"/>
      <c r="H76" s="8"/>
      <c r="I76" s="8"/>
      <c r="J76" s="8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</row>
    <row r="77" spans="1:35" s="14" customFormat="1" ht="12.9" customHeight="1" x14ac:dyDescent="0.25">
      <c r="A77" s="8" t="s">
        <v>67</v>
      </c>
      <c r="B77" s="62">
        <v>1</v>
      </c>
      <c r="C77" s="8"/>
      <c r="D77" s="8" t="s">
        <v>87</v>
      </c>
      <c r="E77" s="8"/>
      <c r="F77" s="8"/>
      <c r="G77" s="8"/>
      <c r="H77" s="8"/>
      <c r="I77" s="8"/>
      <c r="J77" s="8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</row>
    <row r="78" spans="1:35" s="14" customFormat="1" ht="12.9" customHeight="1" x14ac:dyDescent="0.25">
      <c r="A78" s="8" t="s">
        <v>69</v>
      </c>
      <c r="B78" s="25">
        <f>Il_rms^2*B69/1000/B77</f>
        <v>6.0019287844800456E-2</v>
      </c>
      <c r="C78" s="8" t="s">
        <v>47</v>
      </c>
      <c r="D78" s="8" t="s">
        <v>88</v>
      </c>
      <c r="E78" s="8"/>
      <c r="F78" s="8"/>
      <c r="G78" s="8"/>
      <c r="H78" s="8"/>
      <c r="I78" s="8"/>
      <c r="J78" s="8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</row>
    <row r="79" spans="1:35" s="14" customFormat="1" ht="12.9" customHeight="1" x14ac:dyDescent="0.25">
      <c r="A79" s="8" t="s">
        <v>75</v>
      </c>
      <c r="B79" s="25">
        <f>B70*Fs*10^(-6)*((Iin+0.5*Irip)*B75+(Iin-0.5*Irip)*B76)</f>
        <v>7.776649746192893E-2</v>
      </c>
      <c r="C79" s="8" t="s">
        <v>47</v>
      </c>
      <c r="D79" s="8" t="s">
        <v>89</v>
      </c>
      <c r="E79" s="8"/>
      <c r="F79" s="8"/>
      <c r="G79" s="8"/>
      <c r="H79" s="8"/>
      <c r="I79" s="8"/>
      <c r="J79" s="8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</row>
    <row r="80" spans="1:35" s="14" customFormat="1" ht="12.75" customHeight="1" x14ac:dyDescent="0.25">
      <c r="A80" s="8" t="s">
        <v>90</v>
      </c>
      <c r="B80" s="25">
        <f>0.5*B71*Vin* Fs*10^(-6)*B77</f>
        <v>6.9999999999999988E-4</v>
      </c>
      <c r="C80" s="8" t="s">
        <v>47</v>
      </c>
      <c r="D80" s="8" t="s">
        <v>91</v>
      </c>
      <c r="E80" s="8"/>
      <c r="F80" s="8"/>
      <c r="G80" s="8"/>
      <c r="H80" s="8"/>
      <c r="I80" s="8"/>
      <c r="J80" s="8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</row>
    <row r="81" spans="1:35" s="14" customFormat="1" ht="12.9" customHeight="1" x14ac:dyDescent="0.25">
      <c r="A81" s="8" t="s">
        <v>77</v>
      </c>
      <c r="B81" s="25">
        <f>B74*10^(-9)*B77*Vin^2*Fs*1000/2</f>
        <v>2.7440000000000008E-3</v>
      </c>
      <c r="C81" s="8" t="s">
        <v>47</v>
      </c>
      <c r="D81" s="8" t="s">
        <v>92</v>
      </c>
      <c r="E81" s="8"/>
      <c r="F81" s="8"/>
      <c r="G81" s="8"/>
      <c r="H81" s="8"/>
      <c r="I81" s="8"/>
      <c r="J81" s="8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</row>
    <row r="82" spans="1:35" s="14" customFormat="1" ht="12.9" customHeight="1" x14ac:dyDescent="0.25">
      <c r="A82" s="8" t="s">
        <v>93</v>
      </c>
      <c r="B82" s="25">
        <f>IF(Vin&lt;Vout, 0,B78+B79+B80+B81)</f>
        <v>0</v>
      </c>
      <c r="C82" s="8" t="s">
        <v>47</v>
      </c>
      <c r="D82" s="8" t="s">
        <v>94</v>
      </c>
      <c r="E82" s="8"/>
      <c r="F82" s="8"/>
      <c r="G82" s="8"/>
      <c r="H82" s="8"/>
      <c r="I82" s="8"/>
      <c r="J82" s="8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</row>
    <row r="83" spans="1:35" s="14" customFormat="1" ht="12.9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</row>
    <row r="84" spans="1:35" s="14" customFormat="1" ht="12.9" customHeight="1" x14ac:dyDescent="0.25">
      <c r="A84" s="57" t="s">
        <v>95</v>
      </c>
      <c r="B84" s="8"/>
      <c r="C84" s="8"/>
      <c r="D84" s="8"/>
      <c r="E84" s="8"/>
      <c r="F84" s="8"/>
      <c r="G84" s="8"/>
      <c r="H84" s="8"/>
      <c r="I84" s="8"/>
      <c r="J84" s="8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</row>
    <row r="85" spans="1:35" s="14" customFormat="1" ht="12.9" customHeight="1" x14ac:dyDescent="0.25">
      <c r="A85" s="8" t="s">
        <v>96</v>
      </c>
      <c r="B85" s="8">
        <f>B42</f>
        <v>25</v>
      </c>
      <c r="C85" s="8" t="s">
        <v>23</v>
      </c>
      <c r="D85" s="8"/>
      <c r="E85" s="8"/>
      <c r="F85" s="8"/>
      <c r="G85" s="8"/>
      <c r="H85" s="8"/>
      <c r="I85" s="8"/>
      <c r="J85" s="8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</row>
    <row r="86" spans="1:35" s="14" customFormat="1" ht="12.9" customHeight="1" x14ac:dyDescent="0.25">
      <c r="A86" s="8" t="s">
        <v>50</v>
      </c>
      <c r="B86" s="8">
        <v>1.2</v>
      </c>
      <c r="C86" s="8" t="s">
        <v>4</v>
      </c>
      <c r="D86" s="8"/>
      <c r="E86" s="8"/>
      <c r="F86" s="8"/>
      <c r="G86" s="8"/>
      <c r="H86" s="8"/>
      <c r="I86" s="8"/>
      <c r="J86" s="8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</row>
    <row r="87" spans="1:35" s="14" customFormat="1" ht="12.9" customHeight="1" x14ac:dyDescent="0.25">
      <c r="A87" s="8" t="s">
        <v>51</v>
      </c>
      <c r="B87" s="8">
        <v>0.2</v>
      </c>
      <c r="C87" s="8" t="s">
        <v>52</v>
      </c>
      <c r="D87" s="8"/>
      <c r="E87" s="8"/>
      <c r="F87" s="8"/>
      <c r="G87" s="8"/>
      <c r="H87" s="8"/>
      <c r="I87" s="8"/>
      <c r="J87" s="8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</row>
    <row r="88" spans="1:35" s="14" customFormat="1" ht="12.9" customHeight="1" x14ac:dyDescent="0.25">
      <c r="A88" s="8" t="s">
        <v>53</v>
      </c>
      <c r="B88" s="58">
        <f>+E88/Ron_u</f>
        <v>12</v>
      </c>
      <c r="C88" s="8" t="s">
        <v>52</v>
      </c>
      <c r="D88" s="8" t="s">
        <v>54</v>
      </c>
      <c r="E88" s="8">
        <v>300</v>
      </c>
      <c r="F88" s="8" t="s">
        <v>55</v>
      </c>
      <c r="G88" s="8"/>
      <c r="H88" s="8"/>
      <c r="I88" s="8"/>
      <c r="J88" s="8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</row>
    <row r="89" spans="1:35" s="14" customFormat="1" ht="12.9" customHeight="1" x14ac:dyDescent="0.25">
      <c r="A89" s="8" t="s">
        <v>56</v>
      </c>
      <c r="B89" s="60">
        <f>+E89/Ron_u</f>
        <v>1.6</v>
      </c>
      <c r="C89" s="8" t="s">
        <v>57</v>
      </c>
      <c r="D89" s="8" t="s">
        <v>58</v>
      </c>
      <c r="E89" s="31">
        <v>40</v>
      </c>
      <c r="F89" s="8" t="s">
        <v>59</v>
      </c>
      <c r="G89" s="8"/>
      <c r="H89" s="8"/>
      <c r="I89" s="8"/>
      <c r="J89" s="8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</row>
    <row r="90" spans="1:35" s="14" customFormat="1" ht="12.9" customHeight="1" x14ac:dyDescent="0.25">
      <c r="A90" s="8" t="s">
        <v>60</v>
      </c>
      <c r="B90" s="60">
        <f>+E90/Ron_u</f>
        <v>0.28000000000000003</v>
      </c>
      <c r="C90" s="8" t="s">
        <v>57</v>
      </c>
      <c r="D90" s="8" t="s">
        <v>61</v>
      </c>
      <c r="E90" s="31">
        <v>7</v>
      </c>
      <c r="F90" s="8" t="s">
        <v>59</v>
      </c>
      <c r="G90" s="8"/>
      <c r="H90" s="8"/>
      <c r="I90" s="8"/>
      <c r="J90" s="8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</row>
    <row r="91" spans="1:35" s="14" customFormat="1" ht="12.9" customHeight="1" x14ac:dyDescent="0.25">
      <c r="A91" s="8" t="s">
        <v>62</v>
      </c>
      <c r="B91" s="8">
        <v>4</v>
      </c>
      <c r="C91" s="8" t="s">
        <v>63</v>
      </c>
      <c r="D91" s="8" t="s">
        <v>64</v>
      </c>
      <c r="E91" s="8"/>
      <c r="F91" s="8"/>
      <c r="G91" s="8"/>
      <c r="H91" s="8"/>
      <c r="I91" s="8"/>
      <c r="J91" s="8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</row>
    <row r="92" spans="1:35" s="14" customFormat="1" ht="12.9" customHeight="1" x14ac:dyDescent="0.25">
      <c r="A92" s="8" t="s">
        <v>65</v>
      </c>
      <c r="B92" s="8">
        <v>4</v>
      </c>
      <c r="C92" s="8" t="s">
        <v>63</v>
      </c>
      <c r="D92" s="8" t="s">
        <v>66</v>
      </c>
      <c r="E92" s="8"/>
      <c r="F92" s="8"/>
      <c r="G92" s="8"/>
      <c r="H92" s="8"/>
      <c r="I92" s="8"/>
      <c r="J92" s="8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</row>
    <row r="93" spans="1:35" s="14" customFormat="1" ht="12.9" customHeight="1" x14ac:dyDescent="0.25">
      <c r="A93" s="61" t="s">
        <v>67</v>
      </c>
      <c r="B93" s="62">
        <v>1</v>
      </c>
      <c r="C93" s="8"/>
      <c r="D93" s="8" t="s">
        <v>68</v>
      </c>
      <c r="E93" s="8"/>
      <c r="F93" s="8"/>
      <c r="G93" s="8"/>
      <c r="H93" s="8"/>
      <c r="I93" s="8"/>
      <c r="J93" s="8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</row>
    <row r="94" spans="1:35" s="14" customFormat="1" ht="12.9" customHeight="1" x14ac:dyDescent="0.25">
      <c r="A94" s="8" t="s">
        <v>69</v>
      </c>
      <c r="B94" s="25">
        <f>Iu_rms^2*B85/B93/1000</f>
        <v>0.20269370923586902</v>
      </c>
      <c r="C94" s="8" t="s">
        <v>47</v>
      </c>
      <c r="D94" s="8" t="s">
        <v>70</v>
      </c>
      <c r="E94" s="8"/>
      <c r="F94" s="8"/>
      <c r="G94" s="8"/>
      <c r="H94" s="8"/>
      <c r="I94" s="8"/>
      <c r="J94" s="8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</row>
    <row r="95" spans="1:35" s="14" customFormat="1" ht="12.9" customHeight="1" x14ac:dyDescent="0.25">
      <c r="A95" s="8" t="s">
        <v>71</v>
      </c>
      <c r="B95" s="63">
        <f>ABS(Vout*(Iin-0.5*Irip)*B91*10^(-9)*Fs*10^(3)/2)</f>
        <v>5.9134334424549267E-2</v>
      </c>
      <c r="C95" s="8" t="s">
        <v>47</v>
      </c>
      <c r="D95" s="8" t="s">
        <v>97</v>
      </c>
      <c r="E95" s="8"/>
      <c r="F95" s="8"/>
      <c r="G95" s="8"/>
      <c r="H95" s="8"/>
      <c r="I95" s="8"/>
      <c r="J95" s="8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</row>
    <row r="96" spans="1:35" s="14" customFormat="1" ht="12.9" customHeight="1" x14ac:dyDescent="0.25">
      <c r="A96" s="8" t="s">
        <v>73</v>
      </c>
      <c r="B96" s="25">
        <f>Vout*(Iin+0.5*Irip)*B92*10^(-9)*Fs*10^(3)/2</f>
        <v>6.3995953223504876E-2</v>
      </c>
      <c r="C96" s="8" t="s">
        <v>47</v>
      </c>
      <c r="D96" s="8" t="s">
        <v>98</v>
      </c>
      <c r="E96" s="8"/>
      <c r="F96" s="8"/>
      <c r="G96" s="8"/>
      <c r="H96" s="8"/>
      <c r="I96" s="8"/>
      <c r="J96" s="8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</row>
    <row r="97" spans="1:35" s="14" customFormat="1" ht="12.9" customHeight="1" x14ac:dyDescent="0.25">
      <c r="A97" s="8" t="s">
        <v>75</v>
      </c>
      <c r="B97" s="25">
        <f>B86*Fs*10^(-6)*((Iin+0.5*Irip)*B91+(Iin-0.5*Irip)*B92)</f>
        <v>7.776649746192893E-2</v>
      </c>
      <c r="C97" s="8" t="s">
        <v>47</v>
      </c>
      <c r="D97" s="8" t="s">
        <v>89</v>
      </c>
      <c r="E97" s="8"/>
      <c r="F97" s="8"/>
      <c r="G97" s="8"/>
      <c r="H97" s="8"/>
      <c r="I97" s="8"/>
      <c r="J97" s="8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</row>
    <row r="98" spans="1:35" s="14" customFormat="1" ht="12.9" customHeight="1" x14ac:dyDescent="0.25">
      <c r="A98" s="8" t="s">
        <v>90</v>
      </c>
      <c r="B98" s="25">
        <f>B87*Vout* Fs*10^(-6)*B93</f>
        <v>1.9E-3</v>
      </c>
      <c r="C98" s="8" t="s">
        <v>47</v>
      </c>
      <c r="D98" s="8" t="s">
        <v>99</v>
      </c>
      <c r="E98" s="8"/>
      <c r="F98" s="8"/>
      <c r="G98" s="8"/>
      <c r="H98" s="8"/>
      <c r="I98" s="8"/>
      <c r="J98" s="8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</row>
    <row r="99" spans="1:35" s="14" customFormat="1" ht="12.9" customHeight="1" x14ac:dyDescent="0.25">
      <c r="A99" s="8" t="s">
        <v>77</v>
      </c>
      <c r="B99" s="25">
        <f>0.5*B90*10^(-9)*Vout^2*Fs*10^3*B93</f>
        <v>5.0540000000000012E-3</v>
      </c>
      <c r="C99" s="8" t="s">
        <v>47</v>
      </c>
      <c r="D99" s="8" t="s">
        <v>92</v>
      </c>
      <c r="E99" s="8"/>
      <c r="F99" s="8"/>
      <c r="G99" s="8"/>
      <c r="H99" s="8"/>
      <c r="I99" s="8"/>
      <c r="J99" s="8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</row>
    <row r="100" spans="1:35" s="14" customFormat="1" ht="12.9" customHeight="1" x14ac:dyDescent="0.25">
      <c r="A100" s="8" t="s">
        <v>79</v>
      </c>
      <c r="B100" s="25">
        <f>IF(Vin&lt;Vout, SUM(B94:B99),Ron_u/1000*(Iout^2+Irip^2/12))</f>
        <v>0.41054449434585211</v>
      </c>
      <c r="C100" s="8" t="s">
        <v>47</v>
      </c>
      <c r="D100" s="8" t="s">
        <v>80</v>
      </c>
      <c r="E100" s="8"/>
      <c r="F100" s="8"/>
      <c r="G100" s="8"/>
      <c r="H100" s="8"/>
      <c r="I100" s="8"/>
      <c r="J100" s="8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</row>
    <row r="101" spans="1:35" s="14" customFormat="1" ht="12.9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</row>
    <row r="102" spans="1:35" s="14" customFormat="1" ht="12.9" customHeight="1" x14ac:dyDescent="0.25">
      <c r="A102" s="57" t="s">
        <v>100</v>
      </c>
      <c r="B102" s="8"/>
      <c r="C102" s="8"/>
      <c r="D102" s="8"/>
      <c r="E102" s="8"/>
      <c r="F102" s="8"/>
      <c r="G102" s="8"/>
      <c r="H102" s="8"/>
      <c r="I102" s="8"/>
      <c r="J102" s="8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</row>
    <row r="103" spans="1:35" s="12" customFormat="1" ht="12.9" customHeight="1" x14ac:dyDescent="0.25">
      <c r="A103" s="8" t="s">
        <v>101</v>
      </c>
      <c r="B103" s="62">
        <f>B45</f>
        <v>25</v>
      </c>
      <c r="C103" s="8" t="s">
        <v>23</v>
      </c>
      <c r="D103" s="8"/>
      <c r="E103" s="8"/>
      <c r="F103" s="8"/>
      <c r="G103" s="8"/>
      <c r="H103" s="8"/>
      <c r="I103" s="8"/>
      <c r="J103" s="25"/>
    </row>
    <row r="104" spans="1:35" ht="12.9" customHeight="1" x14ac:dyDescent="0.25">
      <c r="A104" s="8" t="s">
        <v>50</v>
      </c>
      <c r="B104" s="8">
        <v>1.2</v>
      </c>
      <c r="C104" s="8" t="s">
        <v>4</v>
      </c>
      <c r="D104" s="8"/>
      <c r="E104" s="8"/>
      <c r="F104" s="8"/>
      <c r="G104" s="8"/>
      <c r="H104" s="8"/>
      <c r="I104" s="8"/>
      <c r="J104" s="8"/>
      <c r="K104" s="12"/>
      <c r="L104" s="12"/>
    </row>
    <row r="105" spans="1:35" ht="12.9" customHeight="1" x14ac:dyDescent="0.25">
      <c r="A105" s="8" t="s">
        <v>51</v>
      </c>
      <c r="B105" s="8">
        <v>0.2</v>
      </c>
      <c r="C105" s="8" t="s">
        <v>52</v>
      </c>
      <c r="D105" s="8"/>
      <c r="E105" s="8"/>
      <c r="F105" s="8"/>
      <c r="G105" s="8"/>
      <c r="H105" s="8"/>
      <c r="I105" s="8"/>
      <c r="J105" s="8"/>
      <c r="K105" s="12"/>
      <c r="L105" s="12"/>
    </row>
    <row r="106" spans="1:35" ht="12.9" customHeight="1" x14ac:dyDescent="0.25">
      <c r="A106" s="8" t="s">
        <v>53</v>
      </c>
      <c r="B106" s="8">
        <f>+E106/Ron_l</f>
        <v>12</v>
      </c>
      <c r="C106" s="8" t="s">
        <v>52</v>
      </c>
      <c r="D106" s="8" t="s">
        <v>54</v>
      </c>
      <c r="E106" s="8">
        <v>300</v>
      </c>
      <c r="F106" s="8" t="s">
        <v>55</v>
      </c>
      <c r="G106" s="8"/>
      <c r="H106" s="8"/>
      <c r="I106" s="8"/>
      <c r="J106" s="8"/>
    </row>
    <row r="107" spans="1:35" ht="12.9" customHeight="1" x14ac:dyDescent="0.25">
      <c r="A107" s="8" t="s">
        <v>56</v>
      </c>
      <c r="B107" s="64">
        <f>+E107/Ron_l</f>
        <v>1.6</v>
      </c>
      <c r="C107" s="8" t="s">
        <v>57</v>
      </c>
      <c r="D107" s="8" t="s">
        <v>58</v>
      </c>
      <c r="E107" s="31">
        <v>40</v>
      </c>
      <c r="F107" s="8" t="s">
        <v>59</v>
      </c>
      <c r="G107" s="8"/>
      <c r="H107" s="8"/>
      <c r="I107" s="8"/>
      <c r="J107" s="8"/>
    </row>
    <row r="108" spans="1:35" ht="12.9" customHeight="1" x14ac:dyDescent="0.25">
      <c r="A108" s="8" t="s">
        <v>60</v>
      </c>
      <c r="B108" s="60">
        <f>+E108/Ron_l</f>
        <v>0.28000000000000003</v>
      </c>
      <c r="C108" s="8" t="s">
        <v>57</v>
      </c>
      <c r="D108" s="8" t="s">
        <v>61</v>
      </c>
      <c r="E108" s="31">
        <v>7</v>
      </c>
      <c r="F108" s="8" t="s">
        <v>59</v>
      </c>
      <c r="G108" s="8"/>
      <c r="H108" s="8"/>
      <c r="I108" s="8"/>
      <c r="J108" s="8"/>
    </row>
    <row r="109" spans="1:35" ht="12.9" customHeight="1" x14ac:dyDescent="0.25">
      <c r="A109" s="8" t="s">
        <v>83</v>
      </c>
      <c r="B109" s="8">
        <v>4</v>
      </c>
      <c r="C109" s="8" t="s">
        <v>63</v>
      </c>
      <c r="D109" s="8" t="s">
        <v>84</v>
      </c>
      <c r="E109" s="8"/>
      <c r="F109" s="8"/>
      <c r="G109" s="8"/>
      <c r="H109" s="8"/>
      <c r="I109" s="8"/>
      <c r="J109" s="8"/>
    </row>
    <row r="110" spans="1:35" ht="12.9" customHeight="1" x14ac:dyDescent="0.25">
      <c r="A110" s="8" t="s">
        <v>85</v>
      </c>
      <c r="B110" s="8">
        <v>4</v>
      </c>
      <c r="C110" s="8" t="s">
        <v>63</v>
      </c>
      <c r="D110" s="8" t="s">
        <v>86</v>
      </c>
      <c r="E110" s="8"/>
      <c r="F110" s="8"/>
      <c r="G110" s="8"/>
      <c r="H110" s="8"/>
      <c r="I110" s="8"/>
      <c r="J110" s="8"/>
    </row>
    <row r="111" spans="1:35" ht="12.9" customHeight="1" x14ac:dyDescent="0.25">
      <c r="A111" s="8" t="s">
        <v>67</v>
      </c>
      <c r="B111" s="62">
        <v>1</v>
      </c>
      <c r="C111" s="8"/>
      <c r="D111" s="8" t="s">
        <v>87</v>
      </c>
      <c r="E111" s="8"/>
      <c r="F111" s="8"/>
      <c r="G111" s="8"/>
      <c r="H111" s="8"/>
      <c r="I111" s="8"/>
      <c r="J111" s="8"/>
    </row>
    <row r="112" spans="1:35" ht="12.9" customHeight="1" x14ac:dyDescent="0.25">
      <c r="A112" s="8" t="s">
        <v>69</v>
      </c>
      <c r="B112" s="25">
        <f>Il_rms^2*B103/1000/B111</f>
        <v>6.0019287844800456E-2</v>
      </c>
      <c r="C112" s="8" t="s">
        <v>47</v>
      </c>
      <c r="D112" s="8" t="s">
        <v>88</v>
      </c>
      <c r="E112" s="8"/>
      <c r="F112" s="8"/>
      <c r="G112" s="8"/>
      <c r="H112" s="8"/>
      <c r="I112" s="8"/>
      <c r="J112" s="8"/>
    </row>
    <row r="113" spans="1:10" ht="12.9" customHeight="1" x14ac:dyDescent="0.25">
      <c r="A113" s="8" t="s">
        <v>75</v>
      </c>
      <c r="B113" s="25">
        <f>B104*Fs*10^(-6)*((Iin+0.5*Irip)*B109+(Iin-0.5*Irip)*B110)</f>
        <v>7.776649746192893E-2</v>
      </c>
      <c r="C113" s="8" t="s">
        <v>47</v>
      </c>
      <c r="D113" s="8" t="s">
        <v>89</v>
      </c>
      <c r="E113" s="8"/>
      <c r="F113" s="8"/>
      <c r="G113" s="8"/>
      <c r="H113" s="8"/>
      <c r="I113" s="8"/>
      <c r="J113" s="8"/>
    </row>
    <row r="114" spans="1:10" ht="12.9" customHeight="1" x14ac:dyDescent="0.25">
      <c r="A114" s="8" t="s">
        <v>90</v>
      </c>
      <c r="B114" s="25">
        <f>B105*Vout* Fs*10^(-6)*B111</f>
        <v>1.9E-3</v>
      </c>
      <c r="C114" s="8" t="s">
        <v>47</v>
      </c>
      <c r="D114" s="8" t="s">
        <v>91</v>
      </c>
      <c r="E114" s="8"/>
      <c r="F114" s="8"/>
      <c r="G114" s="8"/>
      <c r="H114" s="8"/>
      <c r="I114" s="8"/>
      <c r="J114" s="8"/>
    </row>
    <row r="115" spans="1:10" ht="12.9" customHeight="1" x14ac:dyDescent="0.25">
      <c r="A115" s="8" t="s">
        <v>77</v>
      </c>
      <c r="B115" s="25">
        <f>B108*10^(-9)*B111*Vout^2*Fs*1000/2</f>
        <v>5.0540000000000012E-3</v>
      </c>
      <c r="C115" s="8" t="s">
        <v>47</v>
      </c>
      <c r="D115" s="8" t="s">
        <v>92</v>
      </c>
      <c r="E115" s="8"/>
      <c r="F115" s="8"/>
      <c r="G115" s="8"/>
      <c r="H115" s="8"/>
      <c r="I115" s="8"/>
      <c r="J115" s="8"/>
    </row>
    <row r="116" spans="1:10" ht="12.9" customHeight="1" x14ac:dyDescent="0.25">
      <c r="A116" s="8" t="s">
        <v>93</v>
      </c>
      <c r="B116" s="25">
        <f>IF(Vin&lt;Vout,B112+B113+B114+B115,0)</f>
        <v>0.1447397853067294</v>
      </c>
      <c r="C116" s="8" t="s">
        <v>47</v>
      </c>
      <c r="D116" s="8" t="s">
        <v>94</v>
      </c>
      <c r="E116" s="8"/>
      <c r="F116" s="8"/>
      <c r="G116" s="8"/>
      <c r="H116" s="8"/>
      <c r="I116" s="8"/>
      <c r="J116" s="8"/>
    </row>
    <row r="117" spans="1:10" ht="12.9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</row>
    <row r="118" spans="1:10" ht="12.9" customHeight="1" x14ac:dyDescent="0.25">
      <c r="A118" s="65" t="s">
        <v>102</v>
      </c>
      <c r="B118" s="8"/>
      <c r="C118" s="8"/>
      <c r="D118" s="8"/>
      <c r="E118" s="8"/>
      <c r="F118" s="8"/>
      <c r="G118" s="8"/>
      <c r="H118" s="8"/>
      <c r="I118" s="8"/>
      <c r="J118" s="8"/>
    </row>
    <row r="119" spans="1:10" ht="12.9" customHeight="1" x14ac:dyDescent="0.25">
      <c r="A119" s="8" t="s">
        <v>103</v>
      </c>
      <c r="B119" s="8">
        <f>IF(Vin&lt;5.7, Vin, 5)</f>
        <v>2.8</v>
      </c>
      <c r="C119" s="8" t="s">
        <v>4</v>
      </c>
      <c r="D119" s="8"/>
      <c r="E119" s="8"/>
      <c r="F119" s="8"/>
      <c r="G119" s="8"/>
      <c r="H119" s="8"/>
      <c r="I119" s="8"/>
      <c r="J119" s="8"/>
    </row>
    <row r="120" spans="1:10" ht="12.9" customHeight="1" x14ac:dyDescent="0.25">
      <c r="A120" s="8" t="s">
        <v>104</v>
      </c>
      <c r="B120" s="8">
        <f>IF(Vin&lt;5.7, Vin, 5)</f>
        <v>2.8</v>
      </c>
      <c r="C120" s="8" t="s">
        <v>4</v>
      </c>
      <c r="D120" s="8"/>
      <c r="E120" s="8"/>
      <c r="F120" s="8"/>
      <c r="G120" s="8"/>
      <c r="H120" s="8"/>
      <c r="I120" s="8"/>
      <c r="J120" s="8"/>
    </row>
    <row r="121" spans="1:10" ht="12.9" customHeight="1" x14ac:dyDescent="0.25">
      <c r="A121" s="8" t="s">
        <v>105</v>
      </c>
      <c r="B121" s="31">
        <v>0.02</v>
      </c>
      <c r="C121" s="8" t="s">
        <v>106</v>
      </c>
      <c r="D121" s="8" t="s">
        <v>107</v>
      </c>
      <c r="E121" s="8"/>
      <c r="F121" s="8"/>
      <c r="G121" s="8"/>
      <c r="H121" s="8"/>
      <c r="I121" s="8"/>
      <c r="J121" s="8"/>
    </row>
    <row r="122" spans="1:10" ht="12.9" customHeight="1" x14ac:dyDescent="0.25">
      <c r="A122" s="8" t="s">
        <v>108</v>
      </c>
      <c r="B122" s="25">
        <f>Fs*B119*B55*10^(-6)*B60</f>
        <v>8.3999999999999991E-2</v>
      </c>
      <c r="C122" s="8" t="s">
        <v>47</v>
      </c>
      <c r="D122" s="8" t="s">
        <v>109</v>
      </c>
      <c r="E122" s="8"/>
      <c r="F122" s="8"/>
      <c r="G122" s="8"/>
      <c r="H122" s="8"/>
      <c r="I122" s="8"/>
      <c r="J122" s="8"/>
    </row>
    <row r="123" spans="1:10" ht="12.9" customHeight="1" x14ac:dyDescent="0.25">
      <c r="A123" s="8" t="s">
        <v>110</v>
      </c>
      <c r="B123" s="25">
        <f>Fs*B120*B72*10^(-6)*B77</f>
        <v>8.3999999999999991E-2</v>
      </c>
      <c r="C123" s="8" t="s">
        <v>47</v>
      </c>
      <c r="D123" s="8" t="s">
        <v>111</v>
      </c>
      <c r="E123" s="8"/>
      <c r="F123" s="8"/>
      <c r="G123" s="8"/>
      <c r="H123" s="8"/>
      <c r="I123" s="8"/>
      <c r="J123" s="8"/>
    </row>
    <row r="124" spans="1:10" ht="12.9" customHeight="1" x14ac:dyDescent="0.25">
      <c r="A124" s="8" t="s">
        <v>112</v>
      </c>
      <c r="B124" s="25">
        <f>Fs*B119*B88*10^(-6)*B93</f>
        <v>8.3999999999999991E-2</v>
      </c>
      <c r="C124" s="8" t="s">
        <v>47</v>
      </c>
      <c r="D124" s="8" t="s">
        <v>109</v>
      </c>
      <c r="E124" s="8"/>
      <c r="F124" s="8"/>
      <c r="G124" s="8"/>
      <c r="H124" s="8"/>
      <c r="I124" s="8"/>
      <c r="J124" s="8"/>
    </row>
    <row r="125" spans="1:10" ht="12.9" customHeight="1" x14ac:dyDescent="0.25">
      <c r="A125" s="8" t="s">
        <v>113</v>
      </c>
      <c r="B125" s="25">
        <f>Fs*B120*B106*10^(-6)*B111</f>
        <v>8.3999999999999991E-2</v>
      </c>
      <c r="C125" s="8" t="s">
        <v>47</v>
      </c>
      <c r="D125" s="8" t="s">
        <v>111</v>
      </c>
      <c r="E125" s="8"/>
      <c r="F125" s="8"/>
      <c r="G125" s="8"/>
      <c r="H125" s="8"/>
      <c r="I125" s="8"/>
      <c r="J125" s="8"/>
    </row>
    <row r="126" spans="1:10" ht="12.9" customHeight="1" x14ac:dyDescent="0.25">
      <c r="A126" s="8" t="s">
        <v>114</v>
      </c>
      <c r="B126" s="25">
        <f>IF(Vin&lt;Vout, B124+B125+B121*B120*0.001, B122+B123+B121*B120*0.001)</f>
        <v>0.16805599999999998</v>
      </c>
      <c r="C126" s="8" t="s">
        <v>47</v>
      </c>
      <c r="D126" s="8" t="s">
        <v>115</v>
      </c>
      <c r="E126" s="8"/>
      <c r="F126" s="8"/>
      <c r="G126" s="8"/>
      <c r="H126" s="8"/>
      <c r="I126" s="8"/>
      <c r="J126" s="8"/>
    </row>
    <row r="127" spans="1:10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</row>
    <row r="128" spans="1:10" x14ac:dyDescent="0.25">
      <c r="A128" s="65" t="s">
        <v>116</v>
      </c>
      <c r="B128" s="8"/>
      <c r="C128" s="8"/>
      <c r="D128" s="8"/>
      <c r="E128" s="8"/>
      <c r="F128" s="8"/>
      <c r="G128" s="8"/>
      <c r="H128" s="8"/>
      <c r="I128" s="8"/>
      <c r="J128" s="8"/>
    </row>
    <row r="129" spans="1:10" x14ac:dyDescent="0.25">
      <c r="A129" s="8" t="s">
        <v>117</v>
      </c>
      <c r="B129" s="25">
        <f>1.68*10^(-9)*(Fs)^1.35*(57.8*0.5*Irip)^2.263</f>
        <v>6.0104348694528858E-3</v>
      </c>
      <c r="C129" s="8" t="s">
        <v>47</v>
      </c>
      <c r="D129" s="8" t="s">
        <v>118</v>
      </c>
      <c r="E129" s="8"/>
      <c r="F129" s="8"/>
      <c r="G129" s="8"/>
      <c r="H129" s="8"/>
      <c r="I129" s="8"/>
      <c r="J129" s="8"/>
    </row>
    <row r="130" spans="1:10" x14ac:dyDescent="0.25">
      <c r="A130" s="8" t="s">
        <v>119</v>
      </c>
      <c r="B130" s="25">
        <f>DCR/1000*(Iin^2+Irip^2/12)</f>
        <v>0.12605772450477568</v>
      </c>
      <c r="C130" s="8" t="s">
        <v>47</v>
      </c>
      <c r="D130" s="8" t="s">
        <v>120</v>
      </c>
      <c r="E130" s="8"/>
      <c r="F130" s="8"/>
      <c r="G130" s="8"/>
      <c r="H130" s="8"/>
      <c r="I130" s="8"/>
      <c r="J130" s="8"/>
    </row>
    <row r="131" spans="1:10" x14ac:dyDescent="0.25">
      <c r="A131" s="8" t="s">
        <v>121</v>
      </c>
      <c r="B131" s="25">
        <f>B129+B130</f>
        <v>0.13206815937422856</v>
      </c>
      <c r="C131" s="8" t="s">
        <v>47</v>
      </c>
      <c r="D131" s="8" t="s">
        <v>122</v>
      </c>
      <c r="E131" s="8"/>
      <c r="F131" s="8"/>
      <c r="G131" s="8"/>
      <c r="H131" s="8"/>
      <c r="I131" s="8"/>
      <c r="J131" s="8"/>
    </row>
    <row r="132" spans="1:10" x14ac:dyDescent="0.25">
      <c r="A132" s="8"/>
      <c r="B132" s="25"/>
      <c r="C132" s="8"/>
      <c r="D132" s="8"/>
      <c r="E132" s="8"/>
      <c r="F132" s="8"/>
      <c r="G132" s="8"/>
      <c r="H132" s="8"/>
      <c r="I132" s="8"/>
      <c r="J132" s="8"/>
    </row>
    <row r="133" spans="1:10" x14ac:dyDescent="0.25">
      <c r="A133" s="65" t="s">
        <v>123</v>
      </c>
      <c r="B133" s="8"/>
      <c r="C133" s="8"/>
      <c r="D133" s="8"/>
      <c r="E133" s="8"/>
      <c r="F133" s="8"/>
      <c r="G133" s="8"/>
      <c r="H133" s="8"/>
      <c r="I133" s="8"/>
      <c r="J133" s="8"/>
    </row>
    <row r="134" spans="1:10" x14ac:dyDescent="0.25">
      <c r="A134" s="8" t="s">
        <v>124</v>
      </c>
      <c r="B134" s="66">
        <f>IF(Vin&lt;Vout, Il_rms^2*ESR/ncap/1000, (0.5*Irip/SQRT(3))^2*B33/B31/1000)</f>
        <v>4.0012858563200308E-3</v>
      </c>
      <c r="C134" s="8" t="s">
        <v>47</v>
      </c>
      <c r="D134" s="8" t="s">
        <v>125</v>
      </c>
      <c r="E134" s="8"/>
      <c r="F134" s="8"/>
      <c r="G134" s="8"/>
      <c r="H134" s="8"/>
      <c r="I134" s="8"/>
      <c r="J134" s="8"/>
    </row>
    <row r="135" spans="1:10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</row>
    <row r="136" spans="1:10" x14ac:dyDescent="0.25">
      <c r="A136" s="57" t="s">
        <v>43</v>
      </c>
      <c r="B136" s="67">
        <f>+B134+B131+B126+B116+B100+B82+B66</f>
        <v>1.1224391833218599</v>
      </c>
      <c r="C136" s="65" t="s">
        <v>47</v>
      </c>
      <c r="D136" s="8"/>
      <c r="E136" s="8"/>
      <c r="F136" s="8"/>
      <c r="G136" s="8"/>
      <c r="H136" s="8"/>
      <c r="I136" s="8"/>
      <c r="J136" s="8"/>
    </row>
    <row r="137" spans="1:10" x14ac:dyDescent="0.25">
      <c r="A137" s="57" t="s">
        <v>45</v>
      </c>
      <c r="B137" s="67">
        <f>Vout*Iout/(Vout*Iout+B136)*100</f>
        <v>89.433319749345472</v>
      </c>
      <c r="C137" s="65" t="s">
        <v>13</v>
      </c>
      <c r="D137" s="8"/>
      <c r="E137" s="8"/>
      <c r="F137" s="8"/>
      <c r="G137" s="8"/>
      <c r="H137" s="8"/>
      <c r="I137" s="8"/>
      <c r="J137" s="8"/>
    </row>
    <row r="138" spans="1:10" x14ac:dyDescent="0.25">
      <c r="A138" s="3"/>
      <c r="B138" s="3"/>
      <c r="C138" s="3"/>
      <c r="D138" s="3"/>
      <c r="E138" s="3"/>
      <c r="F138" s="3"/>
      <c r="G138" s="8"/>
      <c r="H138" s="8"/>
      <c r="I138" s="8"/>
      <c r="J138" s="12"/>
    </row>
    <row r="139" spans="1:10" x14ac:dyDescent="0.25">
      <c r="A139" s="3"/>
      <c r="B139" s="3"/>
      <c r="C139" s="3"/>
      <c r="D139" s="3"/>
      <c r="E139" s="3"/>
      <c r="F139" s="3"/>
      <c r="G139" s="8"/>
      <c r="H139" s="8"/>
      <c r="I139" s="8"/>
      <c r="J139" s="12"/>
    </row>
    <row r="140" spans="1:10" x14ac:dyDescent="0.25">
      <c r="A140" s="3"/>
      <c r="B140" s="3"/>
      <c r="C140" s="3"/>
      <c r="D140" s="3"/>
      <c r="E140" s="3"/>
      <c r="F140" s="3"/>
      <c r="G140" s="8"/>
      <c r="H140" s="8"/>
      <c r="I140" s="8"/>
      <c r="J140" s="12"/>
    </row>
    <row r="141" spans="1:10" x14ac:dyDescent="0.25">
      <c r="A141" s="3"/>
      <c r="B141" s="68"/>
      <c r="C141" s="3"/>
      <c r="D141" s="3"/>
      <c r="E141" s="3"/>
      <c r="F141" s="3"/>
      <c r="G141" s="8"/>
      <c r="H141" s="8"/>
      <c r="I141" s="8"/>
      <c r="J141" s="12"/>
    </row>
    <row r="142" spans="1:10" x14ac:dyDescent="0.25">
      <c r="A142" s="3"/>
      <c r="B142" s="3"/>
      <c r="C142" s="3"/>
      <c r="D142" s="3"/>
      <c r="E142" s="3"/>
      <c r="F142" s="3"/>
    </row>
    <row r="143" spans="1:10" x14ac:dyDescent="0.25">
      <c r="A143" s="3"/>
      <c r="B143" s="3"/>
      <c r="C143" s="3"/>
      <c r="D143" s="3"/>
      <c r="E143" s="3"/>
      <c r="F143" s="3"/>
    </row>
    <row r="144" spans="1:10" x14ac:dyDescent="0.25">
      <c r="A144" s="3"/>
      <c r="B144" s="3"/>
      <c r="C144" s="3"/>
      <c r="D144" s="3"/>
      <c r="E144" s="3"/>
      <c r="F144" s="3"/>
    </row>
    <row r="145" spans="1:6" x14ac:dyDescent="0.25">
      <c r="A145" s="3"/>
      <c r="B145" s="3"/>
      <c r="C145" s="3"/>
      <c r="D145" s="3"/>
      <c r="E145" s="3"/>
      <c r="F145" s="3"/>
    </row>
    <row r="146" spans="1:6" x14ac:dyDescent="0.25">
      <c r="A146" s="3"/>
      <c r="B146" s="3"/>
      <c r="C146" s="3"/>
      <c r="D146" s="3"/>
      <c r="E146" s="3"/>
      <c r="F146" s="3"/>
    </row>
    <row r="147" spans="1:6" x14ac:dyDescent="0.25">
      <c r="A147" s="3"/>
      <c r="B147" s="3"/>
      <c r="C147" s="3"/>
      <c r="D147" s="3"/>
      <c r="E147" s="3"/>
      <c r="F147" s="3"/>
    </row>
    <row r="148" spans="1:6" x14ac:dyDescent="0.25">
      <c r="A148" s="3"/>
      <c r="B148" s="3"/>
      <c r="C148" s="3"/>
      <c r="D148" s="3"/>
      <c r="E148" s="3"/>
      <c r="F148" s="3"/>
    </row>
    <row r="149" spans="1:6" x14ac:dyDescent="0.25">
      <c r="A149" s="3"/>
      <c r="B149" s="3"/>
      <c r="C149" s="3"/>
      <c r="D149" s="3"/>
      <c r="E149" s="3"/>
      <c r="F149" s="3"/>
    </row>
    <row r="150" spans="1:6" x14ac:dyDescent="0.25">
      <c r="A150" s="3"/>
      <c r="B150" s="3"/>
      <c r="C150" s="3"/>
      <c r="D150" s="3"/>
      <c r="E150" s="3"/>
      <c r="F150" s="3"/>
    </row>
    <row r="151" spans="1:6" x14ac:dyDescent="0.25">
      <c r="A151" s="3"/>
      <c r="B151" s="3"/>
      <c r="C151" s="3"/>
      <c r="D151" s="3"/>
      <c r="E151" s="3"/>
      <c r="F151" s="3"/>
    </row>
    <row r="152" spans="1:6" x14ac:dyDescent="0.25">
      <c r="A152" s="3"/>
      <c r="B152" s="3"/>
      <c r="C152" s="3"/>
      <c r="D152" s="3"/>
      <c r="E152" s="3"/>
      <c r="F152" s="3"/>
    </row>
    <row r="153" spans="1:6" x14ac:dyDescent="0.25">
      <c r="A153" s="3"/>
      <c r="B153" s="3"/>
      <c r="C153" s="3"/>
      <c r="D153" s="3"/>
      <c r="E153" s="3"/>
      <c r="F153" s="3"/>
    </row>
    <row r="154" spans="1:6" x14ac:dyDescent="0.25">
      <c r="A154" s="3"/>
      <c r="B154" s="3"/>
      <c r="C154" s="3"/>
      <c r="D154" s="3"/>
      <c r="E154" s="3"/>
      <c r="F154" s="3"/>
    </row>
    <row r="155" spans="1:6" x14ac:dyDescent="0.25">
      <c r="A155" s="3"/>
      <c r="B155" s="3"/>
      <c r="C155" s="3"/>
      <c r="D155" s="3"/>
      <c r="E155" s="3"/>
      <c r="F155" s="3"/>
    </row>
    <row r="156" spans="1:6" x14ac:dyDescent="0.25">
      <c r="A156" s="3"/>
      <c r="B156" s="3"/>
      <c r="C156" s="3"/>
      <c r="D156" s="3"/>
      <c r="E156" s="3"/>
      <c r="F156" s="3"/>
    </row>
    <row r="157" spans="1:6" x14ac:dyDescent="0.25">
      <c r="A157" s="3"/>
      <c r="B157" s="3"/>
      <c r="C157" s="3"/>
      <c r="D157" s="3"/>
      <c r="E157" s="3"/>
      <c r="F157" s="3"/>
    </row>
    <row r="158" spans="1:6" x14ac:dyDescent="0.25">
      <c r="A158" s="3"/>
      <c r="B158" s="3"/>
      <c r="C158" s="3"/>
      <c r="D158" s="3"/>
      <c r="E158" s="3"/>
      <c r="F158" s="3"/>
    </row>
    <row r="159" spans="1:6" x14ac:dyDescent="0.25">
      <c r="A159" s="3"/>
      <c r="B159" s="3"/>
      <c r="C159" s="3"/>
      <c r="D159" s="3"/>
      <c r="E159" s="3"/>
      <c r="F159" s="3"/>
    </row>
    <row r="160" spans="1:6" x14ac:dyDescent="0.25">
      <c r="A160" s="3"/>
      <c r="B160" s="3"/>
      <c r="C160" s="3"/>
      <c r="D160" s="3"/>
      <c r="E160" s="3"/>
      <c r="F160" s="3"/>
    </row>
    <row r="161" spans="1:6" x14ac:dyDescent="0.25">
      <c r="A161" s="3"/>
      <c r="B161" s="3"/>
      <c r="C161" s="3"/>
      <c r="D161" s="3"/>
      <c r="E161" s="3"/>
      <c r="F161" s="3"/>
    </row>
    <row r="162" spans="1:6" x14ac:dyDescent="0.25">
      <c r="A162" s="3"/>
      <c r="B162" s="3"/>
      <c r="C162" s="3"/>
      <c r="D162" s="3"/>
      <c r="E162" s="3"/>
      <c r="F162" s="3"/>
    </row>
  </sheetData>
  <sheetProtection algorithmName="SHA-512" hashValue="P6vk50K5Xj43XS6rkHd2A+/yahaU8HExaZdgi6SDAd1XRrxJoufLF2lyzDIA2aWTFCG7028lu7mfhFTDs0ywLQ==" saltValue="Izj9ZPby0v+jVKELr+SjLw==" spinCount="100000"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8"/>
  <sheetViews>
    <sheetView topLeftCell="A9" workbookViewId="0">
      <selection activeCell="B9" sqref="B9"/>
    </sheetView>
  </sheetViews>
  <sheetFormatPr defaultRowHeight="12.9" customHeight="1" x14ac:dyDescent="0.25"/>
  <cols>
    <col min="1" max="1" width="15.6640625" style="1" customWidth="1"/>
    <col min="2" max="2" width="17.109375" style="1" customWidth="1"/>
    <col min="3" max="3" width="12.5546875" style="1" customWidth="1"/>
    <col min="4" max="4" width="11" style="1" customWidth="1"/>
    <col min="5" max="6" width="15.6640625" style="1" customWidth="1"/>
    <col min="7" max="7" width="15.33203125" style="1" customWidth="1"/>
    <col min="8" max="8" width="13.5546875" style="1" customWidth="1"/>
    <col min="9" max="9" width="13" style="1" customWidth="1"/>
    <col min="10" max="10" width="15.109375" style="1" customWidth="1"/>
    <col min="11" max="11" width="12.88671875" style="1" bestFit="1" customWidth="1"/>
    <col min="12" max="12" width="9.33203125" style="1" bestFit="1" customWidth="1"/>
    <col min="13" max="13" width="12.88671875" style="1" bestFit="1" customWidth="1"/>
    <col min="14" max="14" width="12.5546875" style="1" bestFit="1" customWidth="1"/>
    <col min="15" max="15" width="12" style="1" bestFit="1" customWidth="1"/>
    <col min="16" max="256" width="9.109375" style="1"/>
    <col min="257" max="257" width="15.6640625" style="1" customWidth="1"/>
    <col min="258" max="258" width="17.109375" style="1" customWidth="1"/>
    <col min="259" max="259" width="12.5546875" style="1" customWidth="1"/>
    <col min="260" max="264" width="0" style="1" hidden="1" customWidth="1"/>
    <col min="265" max="265" width="13" style="1" customWidth="1"/>
    <col min="266" max="266" width="15.109375" style="1" customWidth="1"/>
    <col min="267" max="512" width="9.109375" style="1"/>
    <col min="513" max="513" width="15.6640625" style="1" customWidth="1"/>
    <col min="514" max="514" width="17.109375" style="1" customWidth="1"/>
    <col min="515" max="515" width="12.5546875" style="1" customWidth="1"/>
    <col min="516" max="520" width="0" style="1" hidden="1" customWidth="1"/>
    <col min="521" max="521" width="13" style="1" customWidth="1"/>
    <col min="522" max="522" width="15.109375" style="1" customWidth="1"/>
    <col min="523" max="768" width="9.109375" style="1"/>
    <col min="769" max="769" width="15.6640625" style="1" customWidth="1"/>
    <col min="770" max="770" width="17.109375" style="1" customWidth="1"/>
    <col min="771" max="771" width="12.5546875" style="1" customWidth="1"/>
    <col min="772" max="776" width="0" style="1" hidden="1" customWidth="1"/>
    <col min="777" max="777" width="13" style="1" customWidth="1"/>
    <col min="778" max="778" width="15.109375" style="1" customWidth="1"/>
    <col min="779" max="1024" width="9.109375" style="1"/>
    <col min="1025" max="1025" width="15.6640625" style="1" customWidth="1"/>
    <col min="1026" max="1026" width="17.109375" style="1" customWidth="1"/>
    <col min="1027" max="1027" width="12.5546875" style="1" customWidth="1"/>
    <col min="1028" max="1032" width="0" style="1" hidden="1" customWidth="1"/>
    <col min="1033" max="1033" width="13" style="1" customWidth="1"/>
    <col min="1034" max="1034" width="15.109375" style="1" customWidth="1"/>
    <col min="1035" max="1280" width="9.109375" style="1"/>
    <col min="1281" max="1281" width="15.6640625" style="1" customWidth="1"/>
    <col min="1282" max="1282" width="17.109375" style="1" customWidth="1"/>
    <col min="1283" max="1283" width="12.5546875" style="1" customWidth="1"/>
    <col min="1284" max="1288" width="0" style="1" hidden="1" customWidth="1"/>
    <col min="1289" max="1289" width="13" style="1" customWidth="1"/>
    <col min="1290" max="1290" width="15.109375" style="1" customWidth="1"/>
    <col min="1291" max="1536" width="9.109375" style="1"/>
    <col min="1537" max="1537" width="15.6640625" style="1" customWidth="1"/>
    <col min="1538" max="1538" width="17.109375" style="1" customWidth="1"/>
    <col min="1539" max="1539" width="12.5546875" style="1" customWidth="1"/>
    <col min="1540" max="1544" width="0" style="1" hidden="1" customWidth="1"/>
    <col min="1545" max="1545" width="13" style="1" customWidth="1"/>
    <col min="1546" max="1546" width="15.109375" style="1" customWidth="1"/>
    <col min="1547" max="1792" width="9.109375" style="1"/>
    <col min="1793" max="1793" width="15.6640625" style="1" customWidth="1"/>
    <col min="1794" max="1794" width="17.109375" style="1" customWidth="1"/>
    <col min="1795" max="1795" width="12.5546875" style="1" customWidth="1"/>
    <col min="1796" max="1800" width="0" style="1" hidden="1" customWidth="1"/>
    <col min="1801" max="1801" width="13" style="1" customWidth="1"/>
    <col min="1802" max="1802" width="15.109375" style="1" customWidth="1"/>
    <col min="1803" max="2048" width="9.109375" style="1"/>
    <col min="2049" max="2049" width="15.6640625" style="1" customWidth="1"/>
    <col min="2050" max="2050" width="17.109375" style="1" customWidth="1"/>
    <col min="2051" max="2051" width="12.5546875" style="1" customWidth="1"/>
    <col min="2052" max="2056" width="0" style="1" hidden="1" customWidth="1"/>
    <col min="2057" max="2057" width="13" style="1" customWidth="1"/>
    <col min="2058" max="2058" width="15.109375" style="1" customWidth="1"/>
    <col min="2059" max="2304" width="9.109375" style="1"/>
    <col min="2305" max="2305" width="15.6640625" style="1" customWidth="1"/>
    <col min="2306" max="2306" width="17.109375" style="1" customWidth="1"/>
    <col min="2307" max="2307" width="12.5546875" style="1" customWidth="1"/>
    <col min="2308" max="2312" width="0" style="1" hidden="1" customWidth="1"/>
    <col min="2313" max="2313" width="13" style="1" customWidth="1"/>
    <col min="2314" max="2314" width="15.109375" style="1" customWidth="1"/>
    <col min="2315" max="2560" width="9.109375" style="1"/>
    <col min="2561" max="2561" width="15.6640625" style="1" customWidth="1"/>
    <col min="2562" max="2562" width="17.109375" style="1" customWidth="1"/>
    <col min="2563" max="2563" width="12.5546875" style="1" customWidth="1"/>
    <col min="2564" max="2568" width="0" style="1" hidden="1" customWidth="1"/>
    <col min="2569" max="2569" width="13" style="1" customWidth="1"/>
    <col min="2570" max="2570" width="15.109375" style="1" customWidth="1"/>
    <col min="2571" max="2816" width="9.109375" style="1"/>
    <col min="2817" max="2817" width="15.6640625" style="1" customWidth="1"/>
    <col min="2818" max="2818" width="17.109375" style="1" customWidth="1"/>
    <col min="2819" max="2819" width="12.5546875" style="1" customWidth="1"/>
    <col min="2820" max="2824" width="0" style="1" hidden="1" customWidth="1"/>
    <col min="2825" max="2825" width="13" style="1" customWidth="1"/>
    <col min="2826" max="2826" width="15.109375" style="1" customWidth="1"/>
    <col min="2827" max="3072" width="9.109375" style="1"/>
    <col min="3073" max="3073" width="15.6640625" style="1" customWidth="1"/>
    <col min="3074" max="3074" width="17.109375" style="1" customWidth="1"/>
    <col min="3075" max="3075" width="12.5546875" style="1" customWidth="1"/>
    <col min="3076" max="3080" width="0" style="1" hidden="1" customWidth="1"/>
    <col min="3081" max="3081" width="13" style="1" customWidth="1"/>
    <col min="3082" max="3082" width="15.109375" style="1" customWidth="1"/>
    <col min="3083" max="3328" width="9.109375" style="1"/>
    <col min="3329" max="3329" width="15.6640625" style="1" customWidth="1"/>
    <col min="3330" max="3330" width="17.109375" style="1" customWidth="1"/>
    <col min="3331" max="3331" width="12.5546875" style="1" customWidth="1"/>
    <col min="3332" max="3336" width="0" style="1" hidden="1" customWidth="1"/>
    <col min="3337" max="3337" width="13" style="1" customWidth="1"/>
    <col min="3338" max="3338" width="15.109375" style="1" customWidth="1"/>
    <col min="3339" max="3584" width="9.109375" style="1"/>
    <col min="3585" max="3585" width="15.6640625" style="1" customWidth="1"/>
    <col min="3586" max="3586" width="17.109375" style="1" customWidth="1"/>
    <col min="3587" max="3587" width="12.5546875" style="1" customWidth="1"/>
    <col min="3588" max="3592" width="0" style="1" hidden="1" customWidth="1"/>
    <col min="3593" max="3593" width="13" style="1" customWidth="1"/>
    <col min="3594" max="3594" width="15.109375" style="1" customWidth="1"/>
    <col min="3595" max="3840" width="9.109375" style="1"/>
    <col min="3841" max="3841" width="15.6640625" style="1" customWidth="1"/>
    <col min="3842" max="3842" width="17.109375" style="1" customWidth="1"/>
    <col min="3843" max="3843" width="12.5546875" style="1" customWidth="1"/>
    <col min="3844" max="3848" width="0" style="1" hidden="1" customWidth="1"/>
    <col min="3849" max="3849" width="13" style="1" customWidth="1"/>
    <col min="3850" max="3850" width="15.109375" style="1" customWidth="1"/>
    <col min="3851" max="4096" width="9.109375" style="1"/>
    <col min="4097" max="4097" width="15.6640625" style="1" customWidth="1"/>
    <col min="4098" max="4098" width="17.109375" style="1" customWidth="1"/>
    <col min="4099" max="4099" width="12.5546875" style="1" customWidth="1"/>
    <col min="4100" max="4104" width="0" style="1" hidden="1" customWidth="1"/>
    <col min="4105" max="4105" width="13" style="1" customWidth="1"/>
    <col min="4106" max="4106" width="15.109375" style="1" customWidth="1"/>
    <col min="4107" max="4352" width="9.109375" style="1"/>
    <col min="4353" max="4353" width="15.6640625" style="1" customWidth="1"/>
    <col min="4354" max="4354" width="17.109375" style="1" customWidth="1"/>
    <col min="4355" max="4355" width="12.5546875" style="1" customWidth="1"/>
    <col min="4356" max="4360" width="0" style="1" hidden="1" customWidth="1"/>
    <col min="4361" max="4361" width="13" style="1" customWidth="1"/>
    <col min="4362" max="4362" width="15.109375" style="1" customWidth="1"/>
    <col min="4363" max="4608" width="9.109375" style="1"/>
    <col min="4609" max="4609" width="15.6640625" style="1" customWidth="1"/>
    <col min="4610" max="4610" width="17.109375" style="1" customWidth="1"/>
    <col min="4611" max="4611" width="12.5546875" style="1" customWidth="1"/>
    <col min="4612" max="4616" width="0" style="1" hidden="1" customWidth="1"/>
    <col min="4617" max="4617" width="13" style="1" customWidth="1"/>
    <col min="4618" max="4618" width="15.109375" style="1" customWidth="1"/>
    <col min="4619" max="4864" width="9.109375" style="1"/>
    <col min="4865" max="4865" width="15.6640625" style="1" customWidth="1"/>
    <col min="4866" max="4866" width="17.109375" style="1" customWidth="1"/>
    <col min="4867" max="4867" width="12.5546875" style="1" customWidth="1"/>
    <col min="4868" max="4872" width="0" style="1" hidden="1" customWidth="1"/>
    <col min="4873" max="4873" width="13" style="1" customWidth="1"/>
    <col min="4874" max="4874" width="15.109375" style="1" customWidth="1"/>
    <col min="4875" max="5120" width="9.109375" style="1"/>
    <col min="5121" max="5121" width="15.6640625" style="1" customWidth="1"/>
    <col min="5122" max="5122" width="17.109375" style="1" customWidth="1"/>
    <col min="5123" max="5123" width="12.5546875" style="1" customWidth="1"/>
    <col min="5124" max="5128" width="0" style="1" hidden="1" customWidth="1"/>
    <col min="5129" max="5129" width="13" style="1" customWidth="1"/>
    <col min="5130" max="5130" width="15.109375" style="1" customWidth="1"/>
    <col min="5131" max="5376" width="9.109375" style="1"/>
    <col min="5377" max="5377" width="15.6640625" style="1" customWidth="1"/>
    <col min="5378" max="5378" width="17.109375" style="1" customWidth="1"/>
    <col min="5379" max="5379" width="12.5546875" style="1" customWidth="1"/>
    <col min="5380" max="5384" width="0" style="1" hidden="1" customWidth="1"/>
    <col min="5385" max="5385" width="13" style="1" customWidth="1"/>
    <col min="5386" max="5386" width="15.109375" style="1" customWidth="1"/>
    <col min="5387" max="5632" width="9.109375" style="1"/>
    <col min="5633" max="5633" width="15.6640625" style="1" customWidth="1"/>
    <col min="5634" max="5634" width="17.109375" style="1" customWidth="1"/>
    <col min="5635" max="5635" width="12.5546875" style="1" customWidth="1"/>
    <col min="5636" max="5640" width="0" style="1" hidden="1" customWidth="1"/>
    <col min="5641" max="5641" width="13" style="1" customWidth="1"/>
    <col min="5642" max="5642" width="15.109375" style="1" customWidth="1"/>
    <col min="5643" max="5888" width="9.109375" style="1"/>
    <col min="5889" max="5889" width="15.6640625" style="1" customWidth="1"/>
    <col min="5890" max="5890" width="17.109375" style="1" customWidth="1"/>
    <col min="5891" max="5891" width="12.5546875" style="1" customWidth="1"/>
    <col min="5892" max="5896" width="0" style="1" hidden="1" customWidth="1"/>
    <col min="5897" max="5897" width="13" style="1" customWidth="1"/>
    <col min="5898" max="5898" width="15.109375" style="1" customWidth="1"/>
    <col min="5899" max="6144" width="9.109375" style="1"/>
    <col min="6145" max="6145" width="15.6640625" style="1" customWidth="1"/>
    <col min="6146" max="6146" width="17.109375" style="1" customWidth="1"/>
    <col min="6147" max="6147" width="12.5546875" style="1" customWidth="1"/>
    <col min="6148" max="6152" width="0" style="1" hidden="1" customWidth="1"/>
    <col min="6153" max="6153" width="13" style="1" customWidth="1"/>
    <col min="6154" max="6154" width="15.109375" style="1" customWidth="1"/>
    <col min="6155" max="6400" width="9.109375" style="1"/>
    <col min="6401" max="6401" width="15.6640625" style="1" customWidth="1"/>
    <col min="6402" max="6402" width="17.109375" style="1" customWidth="1"/>
    <col min="6403" max="6403" width="12.5546875" style="1" customWidth="1"/>
    <col min="6404" max="6408" width="0" style="1" hidden="1" customWidth="1"/>
    <col min="6409" max="6409" width="13" style="1" customWidth="1"/>
    <col min="6410" max="6410" width="15.109375" style="1" customWidth="1"/>
    <col min="6411" max="6656" width="9.109375" style="1"/>
    <col min="6657" max="6657" width="15.6640625" style="1" customWidth="1"/>
    <col min="6658" max="6658" width="17.109375" style="1" customWidth="1"/>
    <col min="6659" max="6659" width="12.5546875" style="1" customWidth="1"/>
    <col min="6660" max="6664" width="0" style="1" hidden="1" customWidth="1"/>
    <col min="6665" max="6665" width="13" style="1" customWidth="1"/>
    <col min="6666" max="6666" width="15.109375" style="1" customWidth="1"/>
    <col min="6667" max="6912" width="9.109375" style="1"/>
    <col min="6913" max="6913" width="15.6640625" style="1" customWidth="1"/>
    <col min="6914" max="6914" width="17.109375" style="1" customWidth="1"/>
    <col min="6915" max="6915" width="12.5546875" style="1" customWidth="1"/>
    <col min="6916" max="6920" width="0" style="1" hidden="1" customWidth="1"/>
    <col min="6921" max="6921" width="13" style="1" customWidth="1"/>
    <col min="6922" max="6922" width="15.109375" style="1" customWidth="1"/>
    <col min="6923" max="7168" width="9.109375" style="1"/>
    <col min="7169" max="7169" width="15.6640625" style="1" customWidth="1"/>
    <col min="7170" max="7170" width="17.109375" style="1" customWidth="1"/>
    <col min="7171" max="7171" width="12.5546875" style="1" customWidth="1"/>
    <col min="7172" max="7176" width="0" style="1" hidden="1" customWidth="1"/>
    <col min="7177" max="7177" width="13" style="1" customWidth="1"/>
    <col min="7178" max="7178" width="15.109375" style="1" customWidth="1"/>
    <col min="7179" max="7424" width="9.109375" style="1"/>
    <col min="7425" max="7425" width="15.6640625" style="1" customWidth="1"/>
    <col min="7426" max="7426" width="17.109375" style="1" customWidth="1"/>
    <col min="7427" max="7427" width="12.5546875" style="1" customWidth="1"/>
    <col min="7428" max="7432" width="0" style="1" hidden="1" customWidth="1"/>
    <col min="7433" max="7433" width="13" style="1" customWidth="1"/>
    <col min="7434" max="7434" width="15.109375" style="1" customWidth="1"/>
    <col min="7435" max="7680" width="9.109375" style="1"/>
    <col min="7681" max="7681" width="15.6640625" style="1" customWidth="1"/>
    <col min="7682" max="7682" width="17.109375" style="1" customWidth="1"/>
    <col min="7683" max="7683" width="12.5546875" style="1" customWidth="1"/>
    <col min="7684" max="7688" width="0" style="1" hidden="1" customWidth="1"/>
    <col min="7689" max="7689" width="13" style="1" customWidth="1"/>
    <col min="7690" max="7690" width="15.109375" style="1" customWidth="1"/>
    <col min="7691" max="7936" width="9.109375" style="1"/>
    <col min="7937" max="7937" width="15.6640625" style="1" customWidth="1"/>
    <col min="7938" max="7938" width="17.109375" style="1" customWidth="1"/>
    <col min="7939" max="7939" width="12.5546875" style="1" customWidth="1"/>
    <col min="7940" max="7944" width="0" style="1" hidden="1" customWidth="1"/>
    <col min="7945" max="7945" width="13" style="1" customWidth="1"/>
    <col min="7946" max="7946" width="15.109375" style="1" customWidth="1"/>
    <col min="7947" max="8192" width="9.109375" style="1"/>
    <col min="8193" max="8193" width="15.6640625" style="1" customWidth="1"/>
    <col min="8194" max="8194" width="17.109375" style="1" customWidth="1"/>
    <col min="8195" max="8195" width="12.5546875" style="1" customWidth="1"/>
    <col min="8196" max="8200" width="0" style="1" hidden="1" customWidth="1"/>
    <col min="8201" max="8201" width="13" style="1" customWidth="1"/>
    <col min="8202" max="8202" width="15.109375" style="1" customWidth="1"/>
    <col min="8203" max="8448" width="9.109375" style="1"/>
    <col min="8449" max="8449" width="15.6640625" style="1" customWidth="1"/>
    <col min="8450" max="8450" width="17.109375" style="1" customWidth="1"/>
    <col min="8451" max="8451" width="12.5546875" style="1" customWidth="1"/>
    <col min="8452" max="8456" width="0" style="1" hidden="1" customWidth="1"/>
    <col min="8457" max="8457" width="13" style="1" customWidth="1"/>
    <col min="8458" max="8458" width="15.109375" style="1" customWidth="1"/>
    <col min="8459" max="8704" width="9.109375" style="1"/>
    <col min="8705" max="8705" width="15.6640625" style="1" customWidth="1"/>
    <col min="8706" max="8706" width="17.109375" style="1" customWidth="1"/>
    <col min="8707" max="8707" width="12.5546875" style="1" customWidth="1"/>
    <col min="8708" max="8712" width="0" style="1" hidden="1" customWidth="1"/>
    <col min="8713" max="8713" width="13" style="1" customWidth="1"/>
    <col min="8714" max="8714" width="15.109375" style="1" customWidth="1"/>
    <col min="8715" max="8960" width="9.109375" style="1"/>
    <col min="8961" max="8961" width="15.6640625" style="1" customWidth="1"/>
    <col min="8962" max="8962" width="17.109375" style="1" customWidth="1"/>
    <col min="8963" max="8963" width="12.5546875" style="1" customWidth="1"/>
    <col min="8964" max="8968" width="0" style="1" hidden="1" customWidth="1"/>
    <col min="8969" max="8969" width="13" style="1" customWidth="1"/>
    <col min="8970" max="8970" width="15.109375" style="1" customWidth="1"/>
    <col min="8971" max="9216" width="9.109375" style="1"/>
    <col min="9217" max="9217" width="15.6640625" style="1" customWidth="1"/>
    <col min="9218" max="9218" width="17.109375" style="1" customWidth="1"/>
    <col min="9219" max="9219" width="12.5546875" style="1" customWidth="1"/>
    <col min="9220" max="9224" width="0" style="1" hidden="1" customWidth="1"/>
    <col min="9225" max="9225" width="13" style="1" customWidth="1"/>
    <col min="9226" max="9226" width="15.109375" style="1" customWidth="1"/>
    <col min="9227" max="9472" width="9.109375" style="1"/>
    <col min="9473" max="9473" width="15.6640625" style="1" customWidth="1"/>
    <col min="9474" max="9474" width="17.109375" style="1" customWidth="1"/>
    <col min="9475" max="9475" width="12.5546875" style="1" customWidth="1"/>
    <col min="9476" max="9480" width="0" style="1" hidden="1" customWidth="1"/>
    <col min="9481" max="9481" width="13" style="1" customWidth="1"/>
    <col min="9482" max="9482" width="15.109375" style="1" customWidth="1"/>
    <col min="9483" max="9728" width="9.109375" style="1"/>
    <col min="9729" max="9729" width="15.6640625" style="1" customWidth="1"/>
    <col min="9730" max="9730" width="17.109375" style="1" customWidth="1"/>
    <col min="9731" max="9731" width="12.5546875" style="1" customWidth="1"/>
    <col min="9732" max="9736" width="0" style="1" hidden="1" customWidth="1"/>
    <col min="9737" max="9737" width="13" style="1" customWidth="1"/>
    <col min="9738" max="9738" width="15.109375" style="1" customWidth="1"/>
    <col min="9739" max="9984" width="9.109375" style="1"/>
    <col min="9985" max="9985" width="15.6640625" style="1" customWidth="1"/>
    <col min="9986" max="9986" width="17.109375" style="1" customWidth="1"/>
    <col min="9987" max="9987" width="12.5546875" style="1" customWidth="1"/>
    <col min="9988" max="9992" width="0" style="1" hidden="1" customWidth="1"/>
    <col min="9993" max="9993" width="13" style="1" customWidth="1"/>
    <col min="9994" max="9994" width="15.109375" style="1" customWidth="1"/>
    <col min="9995" max="10240" width="9.109375" style="1"/>
    <col min="10241" max="10241" width="15.6640625" style="1" customWidth="1"/>
    <col min="10242" max="10242" width="17.109375" style="1" customWidth="1"/>
    <col min="10243" max="10243" width="12.5546875" style="1" customWidth="1"/>
    <col min="10244" max="10248" width="0" style="1" hidden="1" customWidth="1"/>
    <col min="10249" max="10249" width="13" style="1" customWidth="1"/>
    <col min="10250" max="10250" width="15.109375" style="1" customWidth="1"/>
    <col min="10251" max="10496" width="9.109375" style="1"/>
    <col min="10497" max="10497" width="15.6640625" style="1" customWidth="1"/>
    <col min="10498" max="10498" width="17.109375" style="1" customWidth="1"/>
    <col min="10499" max="10499" width="12.5546875" style="1" customWidth="1"/>
    <col min="10500" max="10504" width="0" style="1" hidden="1" customWidth="1"/>
    <col min="10505" max="10505" width="13" style="1" customWidth="1"/>
    <col min="10506" max="10506" width="15.109375" style="1" customWidth="1"/>
    <col min="10507" max="10752" width="9.109375" style="1"/>
    <col min="10753" max="10753" width="15.6640625" style="1" customWidth="1"/>
    <col min="10754" max="10754" width="17.109375" style="1" customWidth="1"/>
    <col min="10755" max="10755" width="12.5546875" style="1" customWidth="1"/>
    <col min="10756" max="10760" width="0" style="1" hidden="1" customWidth="1"/>
    <col min="10761" max="10761" width="13" style="1" customWidth="1"/>
    <col min="10762" max="10762" width="15.109375" style="1" customWidth="1"/>
    <col min="10763" max="11008" width="9.109375" style="1"/>
    <col min="11009" max="11009" width="15.6640625" style="1" customWidth="1"/>
    <col min="11010" max="11010" width="17.109375" style="1" customWidth="1"/>
    <col min="11011" max="11011" width="12.5546875" style="1" customWidth="1"/>
    <col min="11012" max="11016" width="0" style="1" hidden="1" customWidth="1"/>
    <col min="11017" max="11017" width="13" style="1" customWidth="1"/>
    <col min="11018" max="11018" width="15.109375" style="1" customWidth="1"/>
    <col min="11019" max="11264" width="9.109375" style="1"/>
    <col min="11265" max="11265" width="15.6640625" style="1" customWidth="1"/>
    <col min="11266" max="11266" width="17.109375" style="1" customWidth="1"/>
    <col min="11267" max="11267" width="12.5546875" style="1" customWidth="1"/>
    <col min="11268" max="11272" width="0" style="1" hidden="1" customWidth="1"/>
    <col min="11273" max="11273" width="13" style="1" customWidth="1"/>
    <col min="11274" max="11274" width="15.109375" style="1" customWidth="1"/>
    <col min="11275" max="11520" width="9.109375" style="1"/>
    <col min="11521" max="11521" width="15.6640625" style="1" customWidth="1"/>
    <col min="11522" max="11522" width="17.109375" style="1" customWidth="1"/>
    <col min="11523" max="11523" width="12.5546875" style="1" customWidth="1"/>
    <col min="11524" max="11528" width="0" style="1" hidden="1" customWidth="1"/>
    <col min="11529" max="11529" width="13" style="1" customWidth="1"/>
    <col min="11530" max="11530" width="15.109375" style="1" customWidth="1"/>
    <col min="11531" max="11776" width="9.109375" style="1"/>
    <col min="11777" max="11777" width="15.6640625" style="1" customWidth="1"/>
    <col min="11778" max="11778" width="17.109375" style="1" customWidth="1"/>
    <col min="11779" max="11779" width="12.5546875" style="1" customWidth="1"/>
    <col min="11780" max="11784" width="0" style="1" hidden="1" customWidth="1"/>
    <col min="11785" max="11785" width="13" style="1" customWidth="1"/>
    <col min="11786" max="11786" width="15.109375" style="1" customWidth="1"/>
    <col min="11787" max="12032" width="9.109375" style="1"/>
    <col min="12033" max="12033" width="15.6640625" style="1" customWidth="1"/>
    <col min="12034" max="12034" width="17.109375" style="1" customWidth="1"/>
    <col min="12035" max="12035" width="12.5546875" style="1" customWidth="1"/>
    <col min="12036" max="12040" width="0" style="1" hidden="1" customWidth="1"/>
    <col min="12041" max="12041" width="13" style="1" customWidth="1"/>
    <col min="12042" max="12042" width="15.109375" style="1" customWidth="1"/>
    <col min="12043" max="12288" width="9.109375" style="1"/>
    <col min="12289" max="12289" width="15.6640625" style="1" customWidth="1"/>
    <col min="12290" max="12290" width="17.109375" style="1" customWidth="1"/>
    <col min="12291" max="12291" width="12.5546875" style="1" customWidth="1"/>
    <col min="12292" max="12296" width="0" style="1" hidden="1" customWidth="1"/>
    <col min="12297" max="12297" width="13" style="1" customWidth="1"/>
    <col min="12298" max="12298" width="15.109375" style="1" customWidth="1"/>
    <col min="12299" max="12544" width="9.109375" style="1"/>
    <col min="12545" max="12545" width="15.6640625" style="1" customWidth="1"/>
    <col min="12546" max="12546" width="17.109375" style="1" customWidth="1"/>
    <col min="12547" max="12547" width="12.5546875" style="1" customWidth="1"/>
    <col min="12548" max="12552" width="0" style="1" hidden="1" customWidth="1"/>
    <col min="12553" max="12553" width="13" style="1" customWidth="1"/>
    <col min="12554" max="12554" width="15.109375" style="1" customWidth="1"/>
    <col min="12555" max="12800" width="9.109375" style="1"/>
    <col min="12801" max="12801" width="15.6640625" style="1" customWidth="1"/>
    <col min="12802" max="12802" width="17.109375" style="1" customWidth="1"/>
    <col min="12803" max="12803" width="12.5546875" style="1" customWidth="1"/>
    <col min="12804" max="12808" width="0" style="1" hidden="1" customWidth="1"/>
    <col min="12809" max="12809" width="13" style="1" customWidth="1"/>
    <col min="12810" max="12810" width="15.109375" style="1" customWidth="1"/>
    <col min="12811" max="13056" width="9.109375" style="1"/>
    <col min="13057" max="13057" width="15.6640625" style="1" customWidth="1"/>
    <col min="13058" max="13058" width="17.109375" style="1" customWidth="1"/>
    <col min="13059" max="13059" width="12.5546875" style="1" customWidth="1"/>
    <col min="13060" max="13064" width="0" style="1" hidden="1" customWidth="1"/>
    <col min="13065" max="13065" width="13" style="1" customWidth="1"/>
    <col min="13066" max="13066" width="15.109375" style="1" customWidth="1"/>
    <col min="13067" max="13312" width="9.109375" style="1"/>
    <col min="13313" max="13313" width="15.6640625" style="1" customWidth="1"/>
    <col min="13314" max="13314" width="17.109375" style="1" customWidth="1"/>
    <col min="13315" max="13315" width="12.5546875" style="1" customWidth="1"/>
    <col min="13316" max="13320" width="0" style="1" hidden="1" customWidth="1"/>
    <col min="13321" max="13321" width="13" style="1" customWidth="1"/>
    <col min="13322" max="13322" width="15.109375" style="1" customWidth="1"/>
    <col min="13323" max="13568" width="9.109375" style="1"/>
    <col min="13569" max="13569" width="15.6640625" style="1" customWidth="1"/>
    <col min="13570" max="13570" width="17.109375" style="1" customWidth="1"/>
    <col min="13571" max="13571" width="12.5546875" style="1" customWidth="1"/>
    <col min="13572" max="13576" width="0" style="1" hidden="1" customWidth="1"/>
    <col min="13577" max="13577" width="13" style="1" customWidth="1"/>
    <col min="13578" max="13578" width="15.109375" style="1" customWidth="1"/>
    <col min="13579" max="13824" width="9.109375" style="1"/>
    <col min="13825" max="13825" width="15.6640625" style="1" customWidth="1"/>
    <col min="13826" max="13826" width="17.109375" style="1" customWidth="1"/>
    <col min="13827" max="13827" width="12.5546875" style="1" customWidth="1"/>
    <col min="13828" max="13832" width="0" style="1" hidden="1" customWidth="1"/>
    <col min="13833" max="13833" width="13" style="1" customWidth="1"/>
    <col min="13834" max="13834" width="15.109375" style="1" customWidth="1"/>
    <col min="13835" max="14080" width="9.109375" style="1"/>
    <col min="14081" max="14081" width="15.6640625" style="1" customWidth="1"/>
    <col min="14082" max="14082" width="17.109375" style="1" customWidth="1"/>
    <col min="14083" max="14083" width="12.5546875" style="1" customWidth="1"/>
    <col min="14084" max="14088" width="0" style="1" hidden="1" customWidth="1"/>
    <col min="14089" max="14089" width="13" style="1" customWidth="1"/>
    <col min="14090" max="14090" width="15.109375" style="1" customWidth="1"/>
    <col min="14091" max="14336" width="9.109375" style="1"/>
    <col min="14337" max="14337" width="15.6640625" style="1" customWidth="1"/>
    <col min="14338" max="14338" width="17.109375" style="1" customWidth="1"/>
    <col min="14339" max="14339" width="12.5546875" style="1" customWidth="1"/>
    <col min="14340" max="14344" width="0" style="1" hidden="1" customWidth="1"/>
    <col min="14345" max="14345" width="13" style="1" customWidth="1"/>
    <col min="14346" max="14346" width="15.109375" style="1" customWidth="1"/>
    <col min="14347" max="14592" width="9.109375" style="1"/>
    <col min="14593" max="14593" width="15.6640625" style="1" customWidth="1"/>
    <col min="14594" max="14594" width="17.109375" style="1" customWidth="1"/>
    <col min="14595" max="14595" width="12.5546875" style="1" customWidth="1"/>
    <col min="14596" max="14600" width="0" style="1" hidden="1" customWidth="1"/>
    <col min="14601" max="14601" width="13" style="1" customWidth="1"/>
    <col min="14602" max="14602" width="15.109375" style="1" customWidth="1"/>
    <col min="14603" max="14848" width="9.109375" style="1"/>
    <col min="14849" max="14849" width="15.6640625" style="1" customWidth="1"/>
    <col min="14850" max="14850" width="17.109375" style="1" customWidth="1"/>
    <col min="14851" max="14851" width="12.5546875" style="1" customWidth="1"/>
    <col min="14852" max="14856" width="0" style="1" hidden="1" customWidth="1"/>
    <col min="14857" max="14857" width="13" style="1" customWidth="1"/>
    <col min="14858" max="14858" width="15.109375" style="1" customWidth="1"/>
    <col min="14859" max="15104" width="9.109375" style="1"/>
    <col min="15105" max="15105" width="15.6640625" style="1" customWidth="1"/>
    <col min="15106" max="15106" width="17.109375" style="1" customWidth="1"/>
    <col min="15107" max="15107" width="12.5546875" style="1" customWidth="1"/>
    <col min="15108" max="15112" width="0" style="1" hidden="1" customWidth="1"/>
    <col min="15113" max="15113" width="13" style="1" customWidth="1"/>
    <col min="15114" max="15114" width="15.109375" style="1" customWidth="1"/>
    <col min="15115" max="15360" width="9.109375" style="1"/>
    <col min="15361" max="15361" width="15.6640625" style="1" customWidth="1"/>
    <col min="15362" max="15362" width="17.109375" style="1" customWidth="1"/>
    <col min="15363" max="15363" width="12.5546875" style="1" customWidth="1"/>
    <col min="15364" max="15368" width="0" style="1" hidden="1" customWidth="1"/>
    <col min="15369" max="15369" width="13" style="1" customWidth="1"/>
    <col min="15370" max="15370" width="15.109375" style="1" customWidth="1"/>
    <col min="15371" max="15616" width="9.109375" style="1"/>
    <col min="15617" max="15617" width="15.6640625" style="1" customWidth="1"/>
    <col min="15618" max="15618" width="17.109375" style="1" customWidth="1"/>
    <col min="15619" max="15619" width="12.5546875" style="1" customWidth="1"/>
    <col min="15620" max="15624" width="0" style="1" hidden="1" customWidth="1"/>
    <col min="15625" max="15625" width="13" style="1" customWidth="1"/>
    <col min="15626" max="15626" width="15.109375" style="1" customWidth="1"/>
    <col min="15627" max="15872" width="9.109375" style="1"/>
    <col min="15873" max="15873" width="15.6640625" style="1" customWidth="1"/>
    <col min="15874" max="15874" width="17.109375" style="1" customWidth="1"/>
    <col min="15875" max="15875" width="12.5546875" style="1" customWidth="1"/>
    <col min="15876" max="15880" width="0" style="1" hidden="1" customWidth="1"/>
    <col min="15881" max="15881" width="13" style="1" customWidth="1"/>
    <col min="15882" max="15882" width="15.109375" style="1" customWidth="1"/>
    <col min="15883" max="16128" width="9.109375" style="1"/>
    <col min="16129" max="16129" width="15.6640625" style="1" customWidth="1"/>
    <col min="16130" max="16130" width="17.109375" style="1" customWidth="1"/>
    <col min="16131" max="16131" width="12.5546875" style="1" customWidth="1"/>
    <col min="16132" max="16136" width="0" style="1" hidden="1" customWidth="1"/>
    <col min="16137" max="16137" width="13" style="1" customWidth="1"/>
    <col min="16138" max="16138" width="15.109375" style="1" customWidth="1"/>
    <col min="16139" max="16384" width="9.109375" style="1"/>
  </cols>
  <sheetData>
    <row r="1" spans="1:20" ht="164.25" customHeight="1" x14ac:dyDescent="0.25"/>
    <row r="2" spans="1:20" ht="12.9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7" spans="1:20" ht="12.9" customHeight="1" x14ac:dyDescent="0.3">
      <c r="A7" s="15" t="s">
        <v>126</v>
      </c>
      <c r="B7" s="16"/>
      <c r="C7" s="16"/>
      <c r="D7" s="16"/>
      <c r="E7" s="16"/>
      <c r="F7" s="16"/>
    </row>
    <row r="9" spans="1:20" ht="12.9" customHeight="1" x14ac:dyDescent="0.25">
      <c r="A9" s="1" t="s">
        <v>127</v>
      </c>
      <c r="B9" s="19">
        <v>0.01</v>
      </c>
      <c r="C9" s="4" t="s">
        <v>10</v>
      </c>
      <c r="D9" s="12"/>
      <c r="E9" s="12"/>
      <c r="F9" s="12"/>
      <c r="G9" s="12"/>
      <c r="H9" s="12"/>
      <c r="I9" s="12"/>
    </row>
    <row r="10" spans="1:20" ht="12.9" customHeight="1" x14ac:dyDescent="0.25">
      <c r="A10" s="1" t="s">
        <v>128</v>
      </c>
      <c r="B10" s="19">
        <f>Iout</f>
        <v>2.5</v>
      </c>
      <c r="C10" s="4" t="s">
        <v>10</v>
      </c>
      <c r="D10" s="12"/>
      <c r="E10" s="12"/>
      <c r="F10" s="12"/>
      <c r="G10" s="12"/>
      <c r="H10" s="12"/>
      <c r="I10" s="6" t="str">
        <f>IF(B10&gt;6,"Over Limit of IC!"," ")</f>
        <v xml:space="preserve"> </v>
      </c>
    </row>
    <row r="11" spans="1:20" s="12" customFormat="1" ht="30" customHeight="1" x14ac:dyDescent="0.5">
      <c r="I11" s="13" t="str">
        <f>IF(Vin&lt;Vout, "Boost Mode","Buck Mode")</f>
        <v>Boost Mode</v>
      </c>
    </row>
    <row r="12" spans="1:20" s="12" customFormat="1" ht="12.9" customHeight="1" x14ac:dyDescent="0.25">
      <c r="A12" s="8" t="s">
        <v>9</v>
      </c>
      <c r="B12" s="8" t="s">
        <v>129</v>
      </c>
      <c r="C12" s="8" t="s">
        <v>45</v>
      </c>
      <c r="D12" s="21" t="s">
        <v>130</v>
      </c>
      <c r="E12" s="21" t="s">
        <v>131</v>
      </c>
      <c r="F12" s="21" t="s">
        <v>132</v>
      </c>
      <c r="G12" s="21" t="s">
        <v>133</v>
      </c>
      <c r="H12" s="21" t="s">
        <v>134</v>
      </c>
      <c r="I12" s="21" t="s">
        <v>135</v>
      </c>
      <c r="J12" s="21" t="s">
        <v>136</v>
      </c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s="12" customFormat="1" ht="12.9" customHeight="1" x14ac:dyDescent="0.25">
      <c r="A13" s="22">
        <f>Imin</f>
        <v>0.01</v>
      </c>
      <c r="B13" s="23">
        <f t="shared" ref="B13:B23" si="0">SUM(D13:J13)</f>
        <v>0.19668943075885464</v>
      </c>
      <c r="C13" s="24">
        <f>(Vout*A13)/((Vout*A13)+B13)*100</f>
        <v>16.191611133543255</v>
      </c>
      <c r="D13" s="25">
        <f>IF(Vin&lt;Vout,'Power Loss'!$B$52/1000*(A29/(1-B29)*SQRT(1+1/3*(C29*(1-B29)/A29)^2))^2,D29^2*'Power Loss'!$B$52/('Power Loss'!$B$60*1000)+ABS(Vin*(A29-0.5*C29)*'Power Loss'!$B$58*10^-9*Fs*10^3/2)+Vin*(A29+0.5*C29)*'Power Loss'!$B$59*10^-9*Fs*10^3/2+Vin*Fs*10^3*'Power Loss'!$B$54*10^-9*'Power Loss'!$B$60+0.5*'Power Loss'!$B$57*10^-9*Vin^2*Fs*10^3*'Power Loss'!$B$60)</f>
        <v>7.2774848766486862E-4</v>
      </c>
      <c r="E13" s="25">
        <f>IF(Vin&lt;Vout,0, E29^2*'Power Loss'!$B$69/('Power Loss'!$B$111*1000)+'Power Loss'!$B$70*Fs*10^-6*(('Efficiency Summary'!A29/(1-'Efficiency Summary'!B29)+0.5*'Efficiency Summary'!C29)*'Power Loss'!$B$109+('Efficiency Summary'!A29/(1-'Efficiency Summary'!B29)-0.5*'Efficiency Summary'!C29)*'Power Loss'!$B$92)+0.5*'Power Loss'!$B$88*Vout*Fs*10^-6*'Power Loss'!$B$93+'Power Loss'!$B$90*10^-6*'Power Loss'!$B$93*Vout^2*Fs/2)</f>
        <v>0</v>
      </c>
      <c r="F13" s="25">
        <f>IF(Vin&lt;Vout,D29^2*Ron_u/('Power Loss'!$B$93*1000)+ABS(Vout*(A29/(1-B29)-0.5*C29)*'Power Loss'!$B$91*10^-6*Fs/2)+Vout*(A29/(1-B29)+0.5*C29)*'Power Loss'!$B$92*10^-6*Fs/2+'Power Loss'!$B$86*Fs*10^-6*(('Efficiency Summary'!A29/(1-'Efficiency Summary'!B29)+0.5*'Efficiency Summary'!C29)*'Power Loss'!$B$91+('Efficiency Summary'!A29/(1-'Efficiency Summary'!B29)-0.5*'Efficiency Summary'!C29)*'Power Loss'!$B$92)+'Power Loss'!$B$87*Vout*Fs*10^-6*'Power Loss'!$B$93+0.5*'Power Loss'!$B$90*10^-6*Vout^2*Fs*'Power Loss'!$B$93,Ron_u*(Iout^2+C29^2/12)/1000)</f>
        <v>1.3125374344092177E-2</v>
      </c>
      <c r="G13" s="25">
        <f>IF(Vin&lt;Vout,E29^2*Ron_l/('Power Loss'!$B$111*1000)+'Power Loss'!$B$104*Fs*10^-6*(('Efficiency Summary'!A29/(1-'Efficiency Summary'!B29)+0.5*'Efficiency Summary'!C29)*'Power Loss'!$B$109+('Efficiency Summary'!A29/(1-'Efficiency Summary'!B29)-0.5*'Efficiency Summary'!C29)*'Power Loss'!$B$110)+0.5*'Power Loss'!$B$105*Vout*Fs*10^-6*'Power Loss'!$B$111+'Power Loss'!$B$108*10^-6*'Power Loss'!$B$111*Vout^2*Fs/2,0)</f>
        <v>6.4184093380077016E-3</v>
      </c>
      <c r="H13" s="25">
        <f>IF(Vin&lt;Vout,'Power Loss'!$B$119*'Power Loss'!$B$121/1000+'Power Loss'!$B$124+'Power Loss'!$B$125,'Power Loss'!$B$119*'Power Loss'!$B$121/1000+'Power Loss'!$B$122+'Power Loss'!$B$123)</f>
        <v>0.16805599999999998</v>
      </c>
      <c r="I13" s="25">
        <f>IF(Vin&lt;Vout,1.68*10^(-9)*(Fs)^1.35*(57.8*0.5*C29)^2.263+DCR*(('Efficiency Summary'!A29/(1-'Efficiency Summary'!B29))^2+'Efficiency Summary'!C29^2/12)/1000,1.68*10^(-9)*(Fs)^1.35*(57.8*0.5*Irip)^2.263+DCR*('Efficiency Summary'!A29^2+'Efficiency Summary'!C29^2/12)/1000)</f>
        <v>8.3559814640673524E-3</v>
      </c>
      <c r="J13" s="26">
        <f>IF(Vin&lt;Vout, E29^2*ESR/'Power Loss'!$B$31/1000, (0.5*C29/SQRT(3))^2*'Power Loss'!$B$33/'Power Loss'!$B$31/1000)</f>
        <v>5.9171250225813627E-6</v>
      </c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s="12" customFormat="1" ht="12.9" customHeight="1" x14ac:dyDescent="0.25">
      <c r="A14" s="22">
        <f>Imin+(Imax-Imin)*0.0025</f>
        <v>1.6225E-2</v>
      </c>
      <c r="B14" s="23">
        <f t="shared" si="0"/>
        <v>0.19710461552990435</v>
      </c>
      <c r="C14" s="24">
        <f t="shared" ref="C14:C23" si="1">Vout*A14/(Vout*A14+B14)*100</f>
        <v>23.827133872393098</v>
      </c>
      <c r="D14" s="25">
        <f>IF(Vin&lt;Vout,'Power Loss'!$B$52/1000*(A30/(1-B30)*SQRT(1+1/3*(C30*(1-B30)/A30)^2))^2,D30^2*'Power Loss'!$B$52/('Power Loss'!$B$60*1000)+ABS(Vin*(A30-0.5*C30)*'Power Loss'!$B$58*10^-9*Fs*10^3/2)+Vin*(A30+0.5*C30)*'Power Loss'!$B$59*10^-9*Fs*10^3/2+Vin*Fs*10^3*'Power Loss'!$B$54*10^-9*'Power Loss'!$B$60+0.5*'Power Loss'!$B$57*10^-9*Vin^2*Fs*10^3*'Power Loss'!$B$60)</f>
        <v>7.3478107175619701E-4</v>
      </c>
      <c r="E14" s="25">
        <f>IF(Vin&lt;Vout,0, E30^2*'Power Loss'!$B$69/('Power Loss'!$B$111*1000)+'Power Loss'!$B$70*Fs*10^-6*(('Efficiency Summary'!A30/(1-'Efficiency Summary'!B30)+0.5*'Efficiency Summary'!C30)*'Power Loss'!$B$109+('Efficiency Summary'!A30/(1-'Efficiency Summary'!B30)-0.5*'Efficiency Summary'!C30)*'Power Loss'!$B$92)+0.5*'Power Loss'!$B$88*Vout*Fs*10^-6*'Power Loss'!$B$93+'Power Loss'!$B$90*10^-6*'Power Loss'!$B$93*Vout^2*Fs/2)</f>
        <v>0</v>
      </c>
      <c r="F14" s="25">
        <f>IF(Vin&lt;Vout,D30^2*Ron_u/('Power Loss'!$B$93*1000)+ABS(Vout*(A30/(1-B30)-0.5*C30)*'Power Loss'!$B$91*10^-6*Fs/2)+Vout*(A30/(1-B30)+0.5*C30)*'Power Loss'!$B$92*10^-6*Fs/2+'Power Loss'!$B$86*Fs*10^-6*(('Efficiency Summary'!A30/(1-'Efficiency Summary'!B30)+0.5*'Efficiency Summary'!C30)*'Power Loss'!$B$91+('Efficiency Summary'!A30/(1-'Efficiency Summary'!B30)-0.5*'Efficiency Summary'!C30)*'Power Loss'!$B$92)+'Power Loss'!$B$87*Vout*Fs*10^-6*'Power Loss'!$B$93+0.5*'Power Loss'!$B$90*10^-6*Vout^2*Fs*'Power Loss'!$B$93,Ron_u*(Iout^2+C30^2/12)/1000)</f>
        <v>1.333152305252501E-2</v>
      </c>
      <c r="G14" s="25">
        <f>IF(Vin&lt;Vout,E30^2*Ron_l/('Power Loss'!$B$111*1000)+'Power Loss'!$B$104*Fs*10^-6*(('Efficiency Summary'!A30/(1-'Efficiency Summary'!B30)+0.5*'Efficiency Summary'!C30)*'Power Loss'!$B$109+('Efficiency Summary'!A30/(1-'Efficiency Summary'!B30)-0.5*'Efficiency Summary'!C30)*'Power Loss'!$B$110)+0.5*'Power Loss'!$B$105*Vout*Fs*10^-6*'Power Loss'!$B$111+'Power Loss'!$B$108*10^-6*'Power Loss'!$B$111*Vout^2*Fs/2,0)</f>
        <v>6.622932549179528E-3</v>
      </c>
      <c r="H14" s="25">
        <f>IF(Vin&lt;Vout,'Power Loss'!$B$119*'Power Loss'!$B$121/1000+'Power Loss'!$B$124+'Power Loss'!$B$125,'Power Loss'!$B$119*'Power Loss'!$B$121/1000+'Power Loss'!$B$122+'Power Loss'!$B$123)</f>
        <v>0.16805599999999998</v>
      </c>
      <c r="I14" s="25">
        <f>IF(Vin&lt;Vout,1.68*10^(-9)*(Fs)^1.35*(57.8*0.5*C30)^2.263+DCR*(('Efficiency Summary'!A30/(1-'Efficiency Summary'!B30))^2+'Efficiency Summary'!C30^2/12)/1000,1.68*10^(-9)*(Fs)^1.35*(57.8*0.5*Irip)^2.263+DCR*('Efficiency Summary'!A30^2+'Efficiency Summary'!C30^2/12)/1000)</f>
        <v>8.3533372665945717E-3</v>
      </c>
      <c r="J14" s="26">
        <f>IF(Vin&lt;Vout, E30^2*ESR/'Power Loss'!$B$31/1000, (0.5*C30/SQRT(3))^2*'Power Loss'!$B$33/'Power Loss'!$B$31/1000)</f>
        <v>6.0415898490689161E-6</v>
      </c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s="12" customFormat="1" ht="12.9" customHeight="1" x14ac:dyDescent="0.25">
      <c r="A15" s="22">
        <f>Imin+(Imax-Imin)*0.01</f>
        <v>3.49E-2</v>
      </c>
      <c r="B15" s="23">
        <f t="shared" si="0"/>
        <v>0.19840296698640311</v>
      </c>
      <c r="C15" s="24">
        <f t="shared" si="1"/>
        <v>40.063685371247189</v>
      </c>
      <c r="D15" s="25">
        <f>IF(Vin&lt;Vout,'Power Loss'!$B$52/1000*(A31/(1-B31)*SQRT(1+1/3*(C31*(1-B31)/A31)^2))^2,D31^2*'Power Loss'!$B$52/('Power Loss'!$B$60*1000)+ABS(Vin*(A31-0.5*C31)*'Power Loss'!$B$58*10^-9*Fs*10^3/2)+Vin*(A31+0.5*C31)*'Power Loss'!$B$59*10^-9*Fs*10^3/2+Vin*Fs*10^3*'Power Loss'!$B$54*10^-9*'Power Loss'!$B$60+0.5*'Power Loss'!$B$57*10^-9*Vin^2*Fs*10^3*'Power Loss'!$B$60)</f>
        <v>7.7724195891640474E-4</v>
      </c>
      <c r="E15" s="25">
        <f>IF(Vin&lt;Vout,0, E31^2*'Power Loss'!$B$69/('Power Loss'!$B$111*1000)+'Power Loss'!$B$70*Fs*10^-6*(('Efficiency Summary'!A31/(1-'Efficiency Summary'!B31)+0.5*'Efficiency Summary'!C31)*'Power Loss'!$B$109+('Efficiency Summary'!A31/(1-'Efficiency Summary'!B31)-0.5*'Efficiency Summary'!C31)*'Power Loss'!$B$92)+0.5*'Power Loss'!$B$88*Vout*Fs*10^-6*'Power Loss'!$B$93+'Power Loss'!$B$90*10^-6*'Power Loss'!$B$93*Vout^2*Fs/2)</f>
        <v>0</v>
      </c>
      <c r="F15" s="25">
        <f>IF(Vin&lt;Vout,D31^2*Ron_u/('Power Loss'!$B$93*1000)+ABS(Vout*(A31/(1-B31)-0.5*C31)*'Power Loss'!$B$91*10^-6*Fs/2)+Vout*(A31/(1-B31)+0.5*C31)*'Power Loss'!$B$92*10^-6*Fs/2+'Power Loss'!$B$86*Fs*10^-6*(('Efficiency Summary'!A31/(1-'Efficiency Summary'!B31)+0.5*'Efficiency Summary'!C31)*'Power Loss'!$B$91+('Efficiency Summary'!A31/(1-'Efficiency Summary'!B31)-0.5*'Efficiency Summary'!C31)*'Power Loss'!$B$92)+'Power Loss'!$B$87*Vout*Fs*10^-6*'Power Loss'!$B$93+0.5*'Power Loss'!$B$90*10^-6*Vout^2*Fs*'Power Loss'!$B$93,Ron_u*(Iout^2+C31^2/12)/1000)</f>
        <v>1.3965441846164186E-2</v>
      </c>
      <c r="G15" s="25">
        <f>IF(Vin&lt;Vout,E31^2*Ron_l/('Power Loss'!$B$111*1000)+'Power Loss'!$B$104*Fs*10^-6*(('Efficiency Summary'!A31/(1-'Efficiency Summary'!B31)+0.5*'Efficiency Summary'!C31)*'Power Loss'!$B$109+('Efficiency Summary'!A31/(1-'Efficiency Summary'!B31)-0.5*'Efficiency Summary'!C31)*'Power Loss'!$B$110)+0.5*'Power Loss'!$B$105*Vout*Fs*10^-6*'Power Loss'!$B$111+'Power Loss'!$B$108*10^-6*'Power Loss'!$B$111*Vout^2*Fs/2,0)</f>
        <v>7.2418190082462119E-3</v>
      </c>
      <c r="H15" s="25">
        <f>IF(Vin&lt;Vout,'Power Loss'!$B$119*'Power Loss'!$B$121/1000+'Power Loss'!$B$124+'Power Loss'!$B$125,'Power Loss'!$B$119*'Power Loss'!$B$121/1000+'Power Loss'!$B$122+'Power Loss'!$B$123)</f>
        <v>0.16805599999999998</v>
      </c>
      <c r="I15" s="25">
        <f>IF(Vin&lt;Vout,1.68*10^(-9)*(Fs)^1.35*(57.8*0.5*C31)^2.263+DCR*(('Efficiency Summary'!A31/(1-'Efficiency Summary'!B31))^2+'Efficiency Summary'!C31^2/12)/1000,1.68*10^(-9)*(Fs)^1.35*(57.8*0.5*Irip)^2.263+DCR*('Efficiency Summary'!A31^2+'Efficiency Summary'!C31^2/12)/1000)</f>
        <v>8.3556755899349723E-3</v>
      </c>
      <c r="J15" s="26">
        <f>IF(Vin&lt;Vout, E31^2*ESR/'Power Loss'!$B$31/1000, (0.5*C31/SQRT(3))^2*'Power Loss'!$B$33/'Power Loss'!$B$31/1000)</f>
        <v>6.7885831413432502E-6</v>
      </c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s="12" customFormat="1" ht="12.9" customHeight="1" x14ac:dyDescent="0.25">
      <c r="A16" s="22">
        <f>Imin+(Imax-Imin)*0.05</f>
        <v>0.13450000000000001</v>
      </c>
      <c r="B16" s="23">
        <f t="shared" si="0"/>
        <v>0.20801736718712205</v>
      </c>
      <c r="C16" s="24">
        <f t="shared" si="1"/>
        <v>71.073238294772864</v>
      </c>
      <c r="D16" s="25">
        <f>IF(Vin&lt;Vout,'Power Loss'!$B$52/1000*(A32/(1-B32)*SQRT(1+1/3*(C32*(1-B32)/A32)^2))^2,D32^2*'Power Loss'!$B$52/('Power Loss'!$B$60*1000)+ABS(Vin*(A32-0.5*C32)*'Power Loss'!$B$58*10^-9*Fs*10^3/2)+Vin*(A32+0.5*C32)*'Power Loss'!$B$59*10^-9*Fs*10^3/2+Vin*Fs*10^3*'Power Loss'!$B$54*10^-9*'Power Loss'!$B$60+0.5*'Power Loss'!$B$57*10^-9*Vin^2*Fs*10^3*'Power Loss'!$B$60)</f>
        <v>1.5423510187253641E-3</v>
      </c>
      <c r="E16" s="25">
        <f>IF(Vin&lt;Vout,0, E32^2*'Power Loss'!$B$69/('Power Loss'!$B$111*1000)+'Power Loss'!$B$70*Fs*10^-6*(('Efficiency Summary'!A32/(1-'Efficiency Summary'!B32)+0.5*'Efficiency Summary'!C32)*'Power Loss'!$B$109+('Efficiency Summary'!A32/(1-'Efficiency Summary'!B32)-0.5*'Efficiency Summary'!C32)*'Power Loss'!$B$92)+0.5*'Power Loss'!$B$88*Vout*Fs*10^-6*'Power Loss'!$B$93+'Power Loss'!$B$90*10^-6*'Power Loss'!$B$93*Vout^2*Fs/2)</f>
        <v>0</v>
      </c>
      <c r="F16" s="25">
        <f>IF(Vin&lt;Vout,D32^2*Ron_u/('Power Loss'!$B$93*1000)+ABS(Vout*(A32/(1-B32)-0.5*C32)*'Power Loss'!$B$91*10^-6*Fs/2)+Vout*(A32/(1-B32)+0.5*C32)*'Power Loss'!$B$92*10^-6*Fs/2+'Power Loss'!$B$86*Fs*10^-6*(('Efficiency Summary'!A32/(1-'Efficiency Summary'!B32)+0.5*'Efficiency Summary'!C32)*'Power Loss'!$B$91+('Efficiency Summary'!A32/(1-'Efficiency Summary'!B32)-0.5*'Efficiency Summary'!C32)*'Power Loss'!$B$92)+'Power Loss'!$B$87*Vout*Fs*10^-6*'Power Loss'!$B$93+0.5*'Power Loss'!$B$90*10^-6*Vout^2*Fs*'Power Loss'!$B$93,Ron_u*(Iout^2+C32^2/12)/1000)</f>
        <v>1.9096115090793942E-2</v>
      </c>
      <c r="G16" s="25">
        <f>IF(Vin&lt;Vout,E32^2*Ron_l/('Power Loss'!$B$111*1000)+'Power Loss'!$B$104*Fs*10^-6*(('Efficiency Summary'!A32/(1-'Efficiency Summary'!B32)+0.5*'Efficiency Summary'!C32)*'Power Loss'!$B$109+('Efficiency Summary'!A32/(1-'Efficiency Summary'!B32)-0.5*'Efficiency Summary'!C32)*'Power Loss'!$B$110)+0.5*'Power Loss'!$B$105*Vout*Fs*10^-6*'Power Loss'!$B$111+'Power Loss'!$B$108*10^-6*'Power Loss'!$B$111*Vout^2*Fs/2,0)</f>
        <v>1.067565182596257E-2</v>
      </c>
      <c r="H16" s="25">
        <f>IF(Vin&lt;Vout,'Power Loss'!$B$119*'Power Loss'!$B$121/1000+'Power Loss'!$B$124+'Power Loss'!$B$125,'Power Loss'!$B$119*'Power Loss'!$B$121/1000+'Power Loss'!$B$122+'Power Loss'!$B$123)</f>
        <v>0.16805599999999998</v>
      </c>
      <c r="I16" s="25">
        <f>IF(Vin&lt;Vout,1.68*10^(-9)*(Fs)^1.35*(57.8*0.5*C32)^2.263+DCR*(('Efficiency Summary'!A32/(1-'Efficiency Summary'!B32))^2+'Efficiency Summary'!C32^2/12)/1000,1.68*10^(-9)*(Fs)^1.35*(57.8*0.5*Irip)^2.263+DCR*('Efficiency Summary'!A32^2+'Efficiency Summary'!C32^2/12)/1000)</f>
        <v>8.6271193925485795E-3</v>
      </c>
      <c r="J16" s="26">
        <f>IF(Vin&lt;Vout, E32^2*ESR/'Power Loss'!$B$31/1000, (0.5*C32/SQRT(3))^2*'Power Loss'!$B$33/'Power Loss'!$B$31/1000)</f>
        <v>2.0129859091605285E-5</v>
      </c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s="12" customFormat="1" ht="12.9" customHeight="1" x14ac:dyDescent="0.25">
      <c r="A17" s="22">
        <f>Imin+(Imax-Imin)*0.2</f>
        <v>0.50800000000000001</v>
      </c>
      <c r="B17" s="23">
        <f t="shared" si="0"/>
        <v>0.27771137841112159</v>
      </c>
      <c r="C17" s="24">
        <f t="shared" si="1"/>
        <v>87.423126336545891</v>
      </c>
      <c r="D17" s="25">
        <f>IF(Vin&lt;Vout,'Power Loss'!$B$52/1000*(A33/(1-B33)*SQRT(1+1/3*(C33*(1-B33)/A33)^2))^2,D33^2*'Power Loss'!$B$52/('Power Loss'!$B$60*1000)+ABS(Vin*(A33-0.5*C33)*'Power Loss'!$B$58*10^-9*Fs*10^3/2)+Vin*(A33+0.5*C33)*'Power Loss'!$B$59*10^-9*Fs*10^3/2+Vin*Fs*10^3*'Power Loss'!$B$54*10^-9*'Power Loss'!$B$60+0.5*'Power Loss'!$B$57*10^-9*Vin^2*Fs*10^3*'Power Loss'!$B$60)</f>
        <v>1.234262669183433E-2</v>
      </c>
      <c r="E17" s="25">
        <f>IF(Vin&lt;Vout,0, E33^2*'Power Loss'!$B$69/('Power Loss'!$B$111*1000)+'Power Loss'!$B$70*Fs*10^-6*(('Efficiency Summary'!A33/(1-'Efficiency Summary'!B33)+0.5*'Efficiency Summary'!C33)*'Power Loss'!$B$109+('Efficiency Summary'!A33/(1-'Efficiency Summary'!B33)-0.5*'Efficiency Summary'!C33)*'Power Loss'!$B$92)+0.5*'Power Loss'!$B$88*Vout*Fs*10^-6*'Power Loss'!$B$93+'Power Loss'!$B$90*10^-6*'Power Loss'!$B$93*Vout^2*Fs/2)</f>
        <v>0</v>
      </c>
      <c r="F17" s="25">
        <f>IF(Vin&lt;Vout,D33^2*Ron_u/('Power Loss'!$B$93*1000)+ABS(Vout*(A33/(1-B33)-0.5*C33)*'Power Loss'!$B$91*10^-6*Fs/2)+Vout*(A33/(1-B33)+0.5*C33)*'Power Loss'!$B$92*10^-6*Fs/2+'Power Loss'!$B$86*Fs*10^-6*(('Efficiency Summary'!A33/(1-'Efficiency Summary'!B33)+0.5*'Efficiency Summary'!C33)*'Power Loss'!$B$91+('Efficiency Summary'!A33/(1-'Efficiency Summary'!B33)-0.5*'Efficiency Summary'!C33)*'Power Loss'!$B$92)+'Power Loss'!$B$87*Vout*Fs*10^-6*'Power Loss'!$B$93+0.5*'Power Loss'!$B$90*10^-6*Vout^2*Fs*'Power Loss'!$B$93,Ron_u*(Iout^2+C33^2/12)/1000)</f>
        <v>5.8193482302455864E-2</v>
      </c>
      <c r="G17" s="25">
        <f>IF(Vin&lt;Vout,E33^2*Ron_l/('Power Loss'!$B$111*1000)+'Power Loss'!$B$104*Fs*10^-6*(('Efficiency Summary'!A33/(1-'Efficiency Summary'!B33)+0.5*'Efficiency Summary'!C33)*'Power Loss'!$B$109+('Efficiency Summary'!A33/(1-'Efficiency Summary'!B33)-0.5*'Efficiency Summary'!C33)*'Power Loss'!$B$110)+0.5*'Power Loss'!$B$105*Vout*Fs*10^-6*'Power Loss'!$B$111+'Power Loss'!$B$108*10^-6*'Power Loss'!$B$111*Vout^2*Fs/2,0)</f>
        <v>2.5456743899897546E-2</v>
      </c>
      <c r="H17" s="25">
        <f>IF(Vin&lt;Vout,'Power Loss'!$B$119*'Power Loss'!$B$121/1000+'Power Loss'!$B$124+'Power Loss'!$B$125,'Power Loss'!$B$119*'Power Loss'!$B$121/1000+'Power Loss'!$B$122+'Power Loss'!$B$123)</f>
        <v>0.16805599999999998</v>
      </c>
      <c r="I17" s="25">
        <f>IF(Vin&lt;Vout,1.68*10^(-9)*(Fs)^1.35*(57.8*0.5*C33)^2.263+DCR*(('Efficiency Summary'!A33/(1-'Efficiency Summary'!B33))^2+'Efficiency Summary'!C33^2/12)/1000,1.68*10^(-9)*(Fs)^1.35*(57.8*0.5*Irip)^2.263+DCR*('Efficiency Summary'!A33^2+'Efficiency Summary'!C33^2/12)/1000)</f>
        <v>1.345824141859658E-2</v>
      </c>
      <c r="J17" s="26">
        <f>IF(Vin&lt;Vout, E33^2*ESR/'Power Loss'!$B$31/1000, (0.5*C33/SQRT(3))^2*'Power Loss'!$B$33/'Power Loss'!$B$31/1000)</f>
        <v>2.042840983372817E-4</v>
      </c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s="12" customFormat="1" ht="12.9" customHeight="1" x14ac:dyDescent="0.25">
      <c r="A18" s="22">
        <f>Imin+(Imax-Imin)*0.4</f>
        <v>1.006</v>
      </c>
      <c r="B18" s="23">
        <f t="shared" si="0"/>
        <v>0.41660168465275665</v>
      </c>
      <c r="C18" s="24">
        <f t="shared" si="1"/>
        <v>90.173101875179356</v>
      </c>
      <c r="D18" s="25">
        <f>IF(Vin&lt;Vout,'Power Loss'!$B$52/1000*(A34/(1-B34)*SQRT(1+1/3*(C34*(1-B34)/A34)^2))^2,D34^2*'Power Loss'!$B$52/('Power Loss'!$B$60*1000)+ABS(Vin*(A34-0.5*C34)*'Power Loss'!$B$58*10^-9*Fs*10^3/2)+Vin*(A34+0.5*C34)*'Power Loss'!$B$59*10^-9*Fs*10^3/2+Vin*Fs*10^3*'Power Loss'!$B$54*10^-9*'Power Loss'!$B$60+0.5*'Power Loss'!$B$57*10^-9*Vin^2*Fs*10^3*'Power Loss'!$B$60)</f>
        <v>4.5523951963164888E-2</v>
      </c>
      <c r="E18" s="25">
        <f>IF(Vin&lt;Vout,0, E34^2*'Power Loss'!$B$69/('Power Loss'!$B$111*1000)+'Power Loss'!$B$70*Fs*10^-6*(('Efficiency Summary'!A34/(1-'Efficiency Summary'!B34)+0.5*'Efficiency Summary'!C34)*'Power Loss'!$B$109+('Efficiency Summary'!A34/(1-'Efficiency Summary'!B34)-0.5*'Efficiency Summary'!C34)*'Power Loss'!$B$92)+0.5*'Power Loss'!$B$88*Vout*Fs*10^-6*'Power Loss'!$B$93+'Power Loss'!$B$90*10^-6*'Power Loss'!$B$93*Vout^2*Fs/2)</f>
        <v>0</v>
      </c>
      <c r="F18" s="25">
        <f>IF(Vin&lt;Vout,D34^2*Ron_u/('Power Loss'!$B$93*1000)+ABS(Vout*(A34/(1-B34)-0.5*C34)*'Power Loss'!$B$91*10^-6*Fs/2)+Vout*(A34/(1-B34)+0.5*C34)*'Power Loss'!$B$92*10^-6*Fs/2+'Power Loss'!$B$86*Fs*10^-6*(('Efficiency Summary'!A34/(1-'Efficiency Summary'!B34)+0.5*'Efficiency Summary'!C34)*'Power Loss'!$B$91+('Efficiency Summary'!A34/(1-'Efficiency Summary'!B34)-0.5*'Efficiency Summary'!C34)*'Power Loss'!$B$92)+'Power Loss'!$B$87*Vout*Fs*10^-6*'Power Loss'!$B$93+0.5*'Power Loss'!$B$90*10^-6*Vout^2*Fs*'Power Loss'!$B$93,Ron_u*(Iout^2+C34^2/12)/1000)</f>
        <v>0.12393170859366893</v>
      </c>
      <c r="G18" s="25">
        <f>IF(Vin&lt;Vout,E34^2*Ron_l/('Power Loss'!$B$111*1000)+'Power Loss'!$B$104*Fs*10^-6*(('Efficiency Summary'!A34/(1-'Efficiency Summary'!B34)+0.5*'Efficiency Summary'!C34)*'Power Loss'!$B$109+('Efficiency Summary'!A34/(1-'Efficiency Summary'!B34)-0.5*'Efficiency Summary'!C34)*'Power Loss'!$B$110)+0.5*'Power Loss'!$B$105*Vout*Fs*10^-6*'Power Loss'!$B$111+'Power Loss'!$B$108*10^-6*'Power Loss'!$B$111*Vout^2*Fs/2,0)</f>
        <v>4.9410085274785374E-2</v>
      </c>
      <c r="H18" s="25">
        <f>IF(Vin&lt;Vout,'Power Loss'!$B$119*'Power Loss'!$B$121/1000+'Power Loss'!$B$124+'Power Loss'!$B$125,'Power Loss'!$B$119*'Power Loss'!$B$121/1000+'Power Loss'!$B$122+'Power Loss'!$B$123)</f>
        <v>0.16805599999999998</v>
      </c>
      <c r="I18" s="25">
        <f>IF(Vin&lt;Vout,1.68*10^(-9)*(Fs)^1.35*(57.8*0.5*C34)^2.263+DCR*(('Efficiency Summary'!A34/(1-'Efficiency Summary'!B34))^2+'Efficiency Summary'!C34^2/12)/1000,1.68*10^(-9)*(Fs)^1.35*(57.8*0.5*Irip)^2.263+DCR*('Efficiency Summary'!A34^2+'Efficiency Summary'!C34^2/12)/1000)</f>
        <v>2.8929845384594647E-2</v>
      </c>
      <c r="J18" s="26">
        <f>IF(Vin&lt;Vout, E34^2*ESR/'Power Loss'!$B$31/1000, (0.5*C34/SQRT(3))^2*'Power Loss'!$B$33/'Power Loss'!$B$31/1000)</f>
        <v>7.5009343654279222E-4</v>
      </c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s="12" customFormat="1" ht="12.9" customHeight="1" x14ac:dyDescent="0.25">
      <c r="A19" s="22">
        <f>Imin+(Imax-Imin)*0.6</f>
        <v>1.504</v>
      </c>
      <c r="B19" s="23">
        <f t="shared" si="0"/>
        <v>0.6053408211222977</v>
      </c>
      <c r="C19" s="24">
        <f t="shared" si="1"/>
        <v>90.422642013491327</v>
      </c>
      <c r="D19" s="25">
        <f>IF(Vin&lt;Vout,'Power Loss'!$B$52/1000*(A35/(1-B35)*SQRT(1+1/3*(C35*(1-B35)/A35)^2))^2,D35^2*'Power Loss'!$B$52/('Power Loss'!$B$60*1000)+ABS(Vin*(A35-0.5*C35)*'Power Loss'!$B$58*10^-9*Fs*10^3/2)+Vin*(A35+0.5*C35)*'Power Loss'!$B$59*10^-9*Fs*10^3/2+Vin*Fs*10^3*'Power Loss'!$B$54*10^-9*'Power Loss'!$B$60+0.5*'Power Loss'!$B$57*10^-9*Vin^2*Fs*10^3*'Power Loss'!$B$60)</f>
        <v>9.9093085285601179E-2</v>
      </c>
      <c r="E19" s="25">
        <f>IF(Vin&lt;Vout,0, E35^2*'Power Loss'!$B$69/('Power Loss'!$B$111*1000)+'Power Loss'!$B$70*Fs*10^-6*(('Efficiency Summary'!A35/(1-'Efficiency Summary'!B35)+0.5*'Efficiency Summary'!C35)*'Power Loss'!$B$109+('Efficiency Summary'!A35/(1-'Efficiency Summary'!B35)-0.5*'Efficiency Summary'!C35)*'Power Loss'!$B$92)+0.5*'Power Loss'!$B$88*Vout*Fs*10^-6*'Power Loss'!$B$93+'Power Loss'!$B$90*10^-6*'Power Loss'!$B$93*Vout^2*Fs/2)</f>
        <v>0</v>
      </c>
      <c r="F19" s="25">
        <f>IF(Vin&lt;Vout,D35^2*Ron_u/('Power Loss'!$B$93*1000)+ABS(Vout*(A35/(1-B35)-0.5*C35)*'Power Loss'!$B$91*10^-6*Fs/2)+Vout*(A35/(1-B35)+0.5*C35)*'Power Loss'!$B$92*10^-6*Fs/2+'Power Loss'!$B$86*Fs*10^-6*(('Efficiency Summary'!A35/(1-'Efficiency Summary'!B35)+0.5*'Efficiency Summary'!C35)*'Power Loss'!$B$91+('Efficiency Summary'!A35/(1-'Efficiency Summary'!B35)-0.5*'Efficiency Summary'!C35)*'Power Loss'!$B$92)+'Power Loss'!$B$87*Vout*Fs*10^-6*'Power Loss'!$B$93+0.5*'Power Loss'!$B$90*10^-6*Vout^2*Fs*'Power Loss'!$B$93,Ron_u*(Iout^2+C35^2/12)/1000)</f>
        <v>0.20483640641680731</v>
      </c>
      <c r="G19" s="25">
        <f>IF(Vin&lt;Vout,E35^2*Ron_l/('Power Loss'!$B$111*1000)+'Power Loss'!$B$104*Fs*10^-6*(('Efficiency Summary'!A35/(1-'Efficiency Summary'!B35)+0.5*'Efficiency Summary'!C35)*'Power Loss'!$B$109+('Efficiency Summary'!A35/(1-'Efficiency Summary'!B35)-0.5*'Efficiency Summary'!C35)*'Power Loss'!$B$110)+0.5*'Power Loss'!$B$105*Vout*Fs*10^-6*'Power Loss'!$B$111+'Power Loss'!$B$108*10^-6*'Power Loss'!$B$111*Vout^2*Fs/2,0)</f>
        <v>7.7556006103490879E-2</v>
      </c>
      <c r="H19" s="25">
        <f>IF(Vin&lt;Vout,'Power Loss'!$B$119*'Power Loss'!$B$121/1000+'Power Loss'!$B$124+'Power Loss'!$B$125,'Power Loss'!$B$119*'Power Loss'!$B$121/1000+'Power Loss'!$B$122+'Power Loss'!$B$123)</f>
        <v>0.16805599999999998</v>
      </c>
      <c r="I19" s="25">
        <f>IF(Vin&lt;Vout,1.68*10^(-9)*(Fs)^1.35*(57.8*0.5*C35)^2.263+DCR*(('Efficiency Summary'!A35/(1-'Efficiency Summary'!B35))^2+'Efficiency Summary'!C35^2/12)/1000,1.68*10^(-9)*(Fs)^1.35*(57.8*0.5*Irip)^2.263+DCR*('Efficiency Summary'!A35^2+'Efficiency Summary'!C35^2/12)/1000)</f>
        <v>5.4204773109689228E-2</v>
      </c>
      <c r="J19" s="26">
        <f>IF(Vin&lt;Vout, E35^2*ESR/'Power Loss'!$B$31/1000, (0.5*C35/SQRT(3))^2*'Power Loss'!$B$33/'Power Loss'!$B$31/1000)</f>
        <v>1.5945502067091554E-3</v>
      </c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s="12" customFormat="1" ht="12.9" customHeight="1" x14ac:dyDescent="0.25">
      <c r="A20" s="22">
        <f>Imin+(Imax-Imin)*0.7</f>
        <v>1.7530000000000001</v>
      </c>
      <c r="B20" s="23">
        <f t="shared" si="0"/>
        <v>0.71753444337125216</v>
      </c>
      <c r="C20" s="24">
        <f t="shared" si="1"/>
        <v>90.275907058425787</v>
      </c>
      <c r="D20" s="25">
        <f>IF(Vin&lt;Vout,'Power Loss'!$B$52/1000*(A36/(1-B36)*SQRT(1+1/3*(C36*(1-B36)/A36)^2))^2,D36^2*'Power Loss'!$B$52/('Power Loss'!$B$60*1000)+ABS(Vin*(A36-0.5*C36)*'Power Loss'!$B$58*10^-9*Fs*10^3/2)+Vin*(A36+0.5*C36)*'Power Loss'!$B$59*10^-9*Fs*10^3/2+Vin*Fs*10^3*'Power Loss'!$B$54*10^-9*'Power Loss'!$B$60+0.5*'Power Loss'!$B$57*10^-9*Vin^2*Fs*10^3*'Power Loss'!$B$60)</f>
        <v>0.13317424941496736</v>
      </c>
      <c r="E20" s="25">
        <f>IF(Vin&lt;Vout,0, E36^2*'Power Loss'!$B$69/('Power Loss'!$B$111*1000)+'Power Loss'!$B$70*Fs*10^-6*(('Efficiency Summary'!A36/(1-'Efficiency Summary'!B36)+0.5*'Efficiency Summary'!C36)*'Power Loss'!$B$109+('Efficiency Summary'!A36/(1-'Efficiency Summary'!B36)-0.5*'Efficiency Summary'!C36)*'Power Loss'!$B$92)+0.5*'Power Loss'!$B$88*Vout*Fs*10^-6*'Power Loss'!$B$93+'Power Loss'!$B$90*10^-6*'Power Loss'!$B$93*Vout^2*Fs/2)</f>
        <v>0</v>
      </c>
      <c r="F20" s="25">
        <f>IF(Vin&lt;Vout,D36^2*Ron_u/('Power Loss'!$B$93*1000)+ABS(Vout*(A36/(1-B36)-0.5*C36)*'Power Loss'!$B$91*10^-6*Fs/2)+Vout*(A36/(1-B36)+0.5*C36)*'Power Loss'!$B$92*10^-6*Fs/2+'Power Loss'!$B$86*Fs*10^-6*(('Efficiency Summary'!A36/(1-'Efficiency Summary'!B36)+0.5*'Efficiency Summary'!C36)*'Power Loss'!$B$91+('Efficiency Summary'!A36/(1-'Efficiency Summary'!B36)-0.5*'Efficiency Summary'!C36)*'Power Loss'!$B$92)+'Power Loss'!$B$87*Vout*Fs*10^-6*'Power Loss'!$B$93+0.5*'Power Loss'!$B$90*10^-6*Vout^2*Fs*'Power Loss'!$B$93,Ron_u*(Iout^2+C36^2/12)/1000)</f>
        <v>0.25084913449077489</v>
      </c>
      <c r="G20" s="25">
        <f>IF(Vin&lt;Vout,E36^2*Ron_l/('Power Loss'!$B$111*1000)+'Power Loss'!$B$104*Fs*10^-6*(('Efficiency Summary'!A36/(1-'Efficiency Summary'!B36)+0.5*'Efficiency Summary'!C36)*'Power Loss'!$B$109+('Efficiency Summary'!A36/(1-'Efficiency Summary'!B36)-0.5*'Efficiency Summary'!C36)*'Power Loss'!$B$110)+0.5*'Power Loss'!$B$105*Vout*Fs*10^-6*'Power Loss'!$B$111+'Power Loss'!$B$108*10^-6*'Power Loss'!$B$111*Vout^2*Fs/2,0)</f>
        <v>9.2989623051092804E-2</v>
      </c>
      <c r="H20" s="25">
        <f>IF(Vin&lt;Vout,'Power Loss'!$B$119*'Power Loss'!$B$121/1000+'Power Loss'!$B$124+'Power Loss'!$B$125,'Power Loss'!$B$119*'Power Loss'!$B$121/1000+'Power Loss'!$B$122+'Power Loss'!$B$123)</f>
        <v>0.16805599999999998</v>
      </c>
      <c r="I20" s="25">
        <f>IF(Vin&lt;Vout,1.68*10^(-9)*(Fs)^1.35*(57.8*0.5*C36)^2.263+DCR*(('Efficiency Summary'!A36/(1-'Efficiency Summary'!B36))^2+'Efficiency Summary'!C36^2/12)/1000,1.68*10^(-9)*(Fs)^1.35*(57.8*0.5*Irip)^2.263+DCR*('Efficiency Summary'!A36^2+'Efficiency Summary'!C36^2/12)/1000)</f>
        <v>7.0350959582427403E-2</v>
      </c>
      <c r="J20" s="26">
        <f>IF(Vin&lt;Vout, E36^2*ESR/'Power Loss'!$B$31/1000, (0.5*C36/SQRT(3))^2*'Power Loss'!$B$33/'Power Loss'!$B$31/1000)</f>
        <v>2.1144768319896765E-3</v>
      </c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s="12" customFormat="1" ht="12.9" customHeight="1" x14ac:dyDescent="0.25">
      <c r="A21" s="22">
        <f>Imin+(Imax-Imin)*0.8</f>
        <v>2.0020000000000002</v>
      </c>
      <c r="B21" s="23">
        <f t="shared" si="0"/>
        <v>0.84116829281082706</v>
      </c>
      <c r="C21" s="24">
        <f t="shared" si="1"/>
        <v>90.043894403796259</v>
      </c>
      <c r="D21" s="25">
        <f>IF(Vin&lt;Vout,'Power Loss'!$B$52/1000*(A37/(1-B37)*SQRT(1+1/3*(C37*(1-B37)/A37)^2))^2,D37^2*'Power Loss'!$B$52/('Power Loss'!$B$60*1000)+ABS(Vin*(A37-0.5*C37)*'Power Loss'!$B$58*10^-9*Fs*10^3/2)+Vin*(A37+0.5*C37)*'Power Loss'!$B$59*10^-9*Fs*10^3/2+Vin*Fs*10^3*'Power Loss'!$B$54*10^-9*'Power Loss'!$B$60+0.5*'Power Loss'!$B$57*10^-9*Vin^2*Fs*10^3*'Power Loss'!$B$60)</f>
        <v>0.17194219252543297</v>
      </c>
      <c r="E21" s="25">
        <f>IF(Vin&lt;Vout,0, E37^2*'Power Loss'!$B$69/('Power Loss'!$B$111*1000)+'Power Loss'!$B$70*Fs*10^-6*(('Efficiency Summary'!A37/(1-'Efficiency Summary'!B37)+0.5*'Efficiency Summary'!C37)*'Power Loss'!$B$109+('Efficiency Summary'!A37/(1-'Efficiency Summary'!B37)-0.5*'Efficiency Summary'!C37)*'Power Loss'!$B$92)+0.5*'Power Loss'!$B$88*Vout*Fs*10^-6*'Power Loss'!$B$93+'Power Loss'!$B$90*10^-6*'Power Loss'!$B$93*Vout^2*Fs/2)</f>
        <v>0</v>
      </c>
      <c r="F21" s="25">
        <f>IF(Vin&lt;Vout,D37^2*Ron_u/('Power Loss'!$B$93*1000)+ABS(Vout*(A37/(1-B37)-0.5*C37)*'Power Loss'!$B$91*10^-6*Fs/2)+Vout*(A37/(1-B37)+0.5*C37)*'Power Loss'!$B$92*10^-6*Fs/2+'Power Loss'!$B$86*Fs*10^-6*(('Efficiency Summary'!A37/(1-'Efficiency Summary'!B37)+0.5*'Efficiency Summary'!C37)*'Power Loss'!$B$91+('Efficiency Summary'!A37/(1-'Efficiency Summary'!B37)-0.5*'Efficiency Summary'!C37)*'Power Loss'!$B$92)+'Power Loss'!$B$87*Vout*Fs*10^-6*'Power Loss'!$B$93+0.5*'Power Loss'!$B$90*10^-6*Vout^2*Fs*'Power Loss'!$B$93,Ron_u*(Iout^2+C37^2/12)/1000)</f>
        <v>0.30050316966059826</v>
      </c>
      <c r="G21" s="25">
        <f>IF(Vin&lt;Vout,E37^2*Ron_l/('Power Loss'!$B$111*1000)+'Power Loss'!$B$104*Fs*10^-6*(('Efficiency Summary'!A37/(1-'Efficiency Summary'!B37)+0.5*'Efficiency Summary'!C37)*'Power Loss'!$B$109+('Efficiency Summary'!A37/(1-'Efficiency Summary'!B37)-0.5*'Efficiency Summary'!C37)*'Power Loss'!$B$110)+0.5*'Power Loss'!$B$105*Vout*Fs*10^-6*'Power Loss'!$B$111+'Power Loss'!$B$108*10^-6*'Power Loss'!$B$111*Vout^2*Fs/2,0)</f>
        <v>0.10922361664298312</v>
      </c>
      <c r="H21" s="25">
        <f>IF(Vin&lt;Vout,'Power Loss'!$B$119*'Power Loss'!$B$121/1000+'Power Loss'!$B$124+'Power Loss'!$B$125,'Power Loss'!$B$119*'Power Loss'!$B$121/1000+'Power Loss'!$B$122+'Power Loss'!$B$123)</f>
        <v>0.16805599999999998</v>
      </c>
      <c r="I21" s="25">
        <f>IF(Vin&lt;Vout,1.68*10^(-9)*(Fs)^1.35*(57.8*0.5*C37)^2.263+DCR*(('Efficiency Summary'!A37/(1-'Efficiency Summary'!B37))^2+'Efficiency Summary'!C37^2/12)/1000,1.68*10^(-9)*(Fs)^1.35*(57.8*0.5*Irip)^2.263+DCR*('Efficiency Summary'!A37^2+'Efficiency Summary'!C37^2/12)/1000)</f>
        <v>8.8750991924687259E-2</v>
      </c>
      <c r="J21" s="26">
        <f>IF(Vin&lt;Vout, E37^2*ESR/'Power Loss'!$B$31/1000, (0.5*C37/SQRT(3))^2*'Power Loss'!$B$33/'Power Loss'!$B$31/1000)</f>
        <v>2.6923220571254017E-3</v>
      </c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s="12" customFormat="1" ht="12.9" customHeight="1" x14ac:dyDescent="0.25">
      <c r="A22" s="22">
        <f>Imin+(Imax-Imin)*0.9</f>
        <v>2.2509999999999999</v>
      </c>
      <c r="B22" s="23">
        <f t="shared" si="0"/>
        <v>0.97592308534102423</v>
      </c>
      <c r="C22" s="24">
        <f t="shared" si="1"/>
        <v>89.75916638289074</v>
      </c>
      <c r="D22" s="25">
        <f>IF(Vin&lt;Vout,'Power Loss'!$B$52/1000*(A38/(1-B38)*SQRT(1+1/3*(C38*(1-B38)/A38)^2))^2,D38^2*'Power Loss'!$B$52/('Power Loss'!$B$60*1000)+ABS(Vin*(A38-0.5*C38)*'Power Loss'!$B$58*10^-9*Fs*10^3/2)+Vin*(A38+0.5*C38)*'Power Loss'!$B$59*10^-9*Fs*10^3/2+Vin*Fs*10^3*'Power Loss'!$B$54*10^-9*'Power Loss'!$B$60+0.5*'Power Loss'!$B$57*10^-9*Vin^2*Fs*10^3*'Power Loss'!$B$60)</f>
        <v>0.21526871350704499</v>
      </c>
      <c r="E22" s="25">
        <f>IF(Vin&lt;Vout,0, E38^2*'Power Loss'!$B$69/('Power Loss'!$B$111*1000)+'Power Loss'!$B$70*Fs*10^-6*(('Efficiency Summary'!A38/(1-'Efficiency Summary'!B38)+0.5*'Efficiency Summary'!C38)*'Power Loss'!$B$109+('Efficiency Summary'!A38/(1-'Efficiency Summary'!B38)-0.5*'Efficiency Summary'!C38)*'Power Loss'!$B$92)+0.5*'Power Loss'!$B$88*Vout*Fs*10^-6*'Power Loss'!$B$93+'Power Loss'!$B$90*10^-6*'Power Loss'!$B$93*Vout^2*Fs/2)</f>
        <v>0</v>
      </c>
      <c r="F22" s="25">
        <f>IF(Vin&lt;Vout,D38^2*Ron_u/('Power Loss'!$B$93*1000)+ABS(Vout*(A38/(1-B38)-0.5*C38)*'Power Loss'!$B$91*10^-6*Fs/2)+Vout*(A38/(1-B38)+0.5*C38)*'Power Loss'!$B$92*10^-6*Fs/2+'Power Loss'!$B$86*Fs*10^-6*(('Efficiency Summary'!A38/(1-'Efficiency Summary'!B38)+0.5*'Efficiency Summary'!C38)*'Power Loss'!$B$91+('Efficiency Summary'!A38/(1-'Efficiency Summary'!B38)-0.5*'Efficiency Summary'!C38)*'Power Loss'!$B$92)+'Power Loss'!$B$87*Vout*Fs*10^-6*'Power Loss'!$B$93+0.5*'Power Loss'!$B$90*10^-6*Vout^2*Fs*'Power Loss'!$B$93,Ron_u*(Iout^2+C38^2/12)/1000)</f>
        <v>0.35375059485434412</v>
      </c>
      <c r="G22" s="25">
        <f>IF(Vin&lt;Vout,E38^2*Ron_l/('Power Loss'!$B$111*1000)+'Power Loss'!$B$104*Fs*10^-6*(('Efficiency Summary'!A38/(1-'Efficiency Summary'!B38)+0.5*'Efficiency Summary'!C38)*'Power Loss'!$B$109+('Efficiency Summary'!A38/(1-'Efficiency Summary'!B38)-0.5*'Efficiency Summary'!C38)*'Power Loss'!$B$110)+0.5*'Power Loss'!$B$105*Vout*Fs*10^-6*'Power Loss'!$B$111+'Power Loss'!$B$108*10^-6*'Power Loss'!$B$111*Vout^2*Fs/2,0)</f>
        <v>0.12618155842819917</v>
      </c>
      <c r="H22" s="25">
        <f>IF(Vin&lt;Vout,'Power Loss'!$B$119*'Power Loss'!$B$121/1000+'Power Loss'!$B$124+'Power Loss'!$B$125,'Power Loss'!$B$119*'Power Loss'!$B$121/1000+'Power Loss'!$B$122+'Power Loss'!$B$123)</f>
        <v>0.16805599999999998</v>
      </c>
      <c r="I22" s="25">
        <f>IF(Vin&lt;Vout,1.68*10^(-9)*(Fs)^1.35*(57.8*0.5*C38)^2.263+DCR*(('Efficiency Summary'!A38/(1-'Efficiency Summary'!B38))^2+'Efficiency Summary'!C38^2/12)/1000,1.68*10^(-9)*(Fs)^1.35*(57.8*0.5*Irip)^2.263+DCR*('Efficiency Summary'!A38^2+'Efficiency Summary'!C38^2/12)/1000)</f>
        <v>0.10934329974651835</v>
      </c>
      <c r="J22" s="26">
        <f>IF(Vin&lt;Vout, E38^2*ESR/'Power Loss'!$B$31/1000, (0.5*C38/SQRT(3))^2*'Power Loss'!$B$33/'Power Loss'!$B$31/1000)</f>
        <v>3.3229188049175135E-3</v>
      </c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s="12" customFormat="1" ht="12.9" customHeight="1" x14ac:dyDescent="0.25">
      <c r="A23" s="22">
        <f>Imin+(Imax-Imin)</f>
        <v>2.5</v>
      </c>
      <c r="B23" s="23">
        <f t="shared" si="0"/>
        <v>1.1214891833218599</v>
      </c>
      <c r="C23" s="24">
        <f t="shared" si="1"/>
        <v>89.441318783407027</v>
      </c>
      <c r="D23" s="25">
        <f>IF(Vin&lt;Vout,'Power Loss'!$B$52/1000*(A39/(1-B39)*SQRT(1+1/3*(C39*(1-B39)/A39)^2))^2,D39^2*'Power Loss'!$B$52/('Power Loss'!$B$60*1000)+ABS(Vin*(A39-0.5*C39)*'Power Loss'!$B$58*10^-9*Fs*10^3/2)+Vin*(A39+0.5*C39)*'Power Loss'!$B$59*10^-9*Fs*10^3/2+Vin*Fs*10^3*'Power Loss'!$B$54*10^-9*'Power Loss'!$B$60+0.5*'Power Loss'!$B$57*10^-9*Vin^2*Fs*10^3*'Power Loss'!$B$60)</f>
        <v>0.26302945843872982</v>
      </c>
      <c r="E23" s="25">
        <f>IF(Vin&lt;Vout,0, E39^2*'Power Loss'!$B$69/('Power Loss'!$B$111*1000)+'Power Loss'!$B$70*Fs*10^-6*(('Efficiency Summary'!A39/(1-'Efficiency Summary'!B39)+0.5*'Efficiency Summary'!C39)*'Power Loss'!$B$109+('Efficiency Summary'!A39/(1-'Efficiency Summary'!B39)-0.5*'Efficiency Summary'!C39)*'Power Loss'!$B$92)+0.5*'Power Loss'!$B$88*Vout*Fs*10^-6*'Power Loss'!$B$93+'Power Loss'!$B$90*10^-6*'Power Loss'!$B$93*Vout^2*Fs/2)</f>
        <v>0</v>
      </c>
      <c r="F23" s="25">
        <f>IF(Vin&lt;Vout,D39^2*Ron_u/('Power Loss'!$B$93*1000)+ABS(Vout*(A39/(1-B39)-0.5*C39)*'Power Loss'!$B$91*10^-6*Fs/2)+Vout*(A39/(1-B39)+0.5*C39)*'Power Loss'!$B$92*10^-6*Fs/2+'Power Loss'!$B$86*Fs*10^-6*(('Efficiency Summary'!A39/(1-'Efficiency Summary'!B39)+0.5*'Efficiency Summary'!C39)*'Power Loss'!$B$91+('Efficiency Summary'!A39/(1-'Efficiency Summary'!B39)-0.5*'Efficiency Summary'!C39)*'Power Loss'!$B$92)+'Power Loss'!$B$87*Vout*Fs*10^-6*'Power Loss'!$B$93+0.5*'Power Loss'!$B$90*10^-6*Vout^2*Fs*'Power Loss'!$B$93,Ron_u*(Iout^2+C39^2/12)/1000)</f>
        <v>0.41054449434585211</v>
      </c>
      <c r="G23" s="25">
        <f>IF(Vin&lt;Vout,E39^2*Ron_l/('Power Loss'!$B$111*1000)+'Power Loss'!$B$104*Fs*10^-6*(('Efficiency Summary'!A39/(1-'Efficiency Summary'!B39)+0.5*'Efficiency Summary'!C39)*'Power Loss'!$B$109+('Efficiency Summary'!A39/(1-'Efficiency Summary'!B39)-0.5*'Efficiency Summary'!C39)*'Power Loss'!$B$110)+0.5*'Power Loss'!$B$105*Vout*Fs*10^-6*'Power Loss'!$B$111+'Power Loss'!$B$108*10^-6*'Power Loss'!$B$111*Vout^2*Fs/2,0)</f>
        <v>0.1437897853067294</v>
      </c>
      <c r="H23" s="25">
        <f>IF(Vin&lt;Vout,'Power Loss'!$B$119*'Power Loss'!$B$121/1000+'Power Loss'!$B$124+'Power Loss'!$B$125,'Power Loss'!$B$119*'Power Loss'!$B$121/1000+'Power Loss'!$B$122+'Power Loss'!$B$123)</f>
        <v>0.16805599999999998</v>
      </c>
      <c r="I23" s="25">
        <f>IF(Vin&lt;Vout,1.68*10^(-9)*(Fs)^1.35*(57.8*0.5*C39)^2.263+DCR*(('Efficiency Summary'!A39/(1-'Efficiency Summary'!B39))^2+'Efficiency Summary'!C39^2/12)/1000,1.68*10^(-9)*(Fs)^1.35*(57.8*0.5*Irip)^2.263+DCR*('Efficiency Summary'!A39^2+'Efficiency Summary'!C39^2/12)/1000)</f>
        <v>0.13206815937422856</v>
      </c>
      <c r="J23" s="26">
        <f>IF(Vin&lt;Vout, E39^2*ESR/'Power Loss'!$B$31/1000, (0.5*C39/SQRT(3))^2*'Power Loss'!$B$33/'Power Loss'!$B$31/1000)</f>
        <v>4.0012858563200308E-3</v>
      </c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s="12" customFormat="1" ht="12.9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s="12" customFormat="1" ht="12.9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s="12" customFormat="1" ht="12.9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s="12" customFormat="1" ht="12.9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s="12" customFormat="1" ht="12.9" customHeight="1" x14ac:dyDescent="0.25">
      <c r="A28" s="8" t="s">
        <v>9</v>
      </c>
      <c r="B28" s="21" t="s">
        <v>137</v>
      </c>
      <c r="C28" s="21" t="s">
        <v>138</v>
      </c>
      <c r="D28" s="21" t="s">
        <v>139</v>
      </c>
      <c r="E28" s="21" t="s">
        <v>140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s="12" customFormat="1" ht="12.9" customHeight="1" x14ac:dyDescent="0.25">
      <c r="A29" s="8">
        <f t="shared" ref="A29:A39" si="2">A13</f>
        <v>0.01</v>
      </c>
      <c r="B29" s="8">
        <f>IF(Vin&lt;Vout, 1-(Vin + (A29*((DCR+'Power Loss'!$B$52+Ron_l)/1000)))/(Vout+(A29*((DCR+'Power Loss'!$B$52-Ron_u)/1000))), (Vout+('Efficiency Summary'!A29*((DCR+'Power Loss'!$B$69+'Power Loss'!$B$85)/1000)))/(Vin+'Efficiency Summary'!A29*(('Power Loss'!$B$69-'Power Loss'!$B$52)/1000)))</f>
        <v>0.26301800995758029</v>
      </c>
      <c r="C29" s="8">
        <f t="shared" ref="C29:C39" si="3">IF(Vin&lt;Vout, Vin*B29/(Lout*10^(-6)*Fs*10^3), (Vin-Vout)*((Vout)/(Vin*Lout*10^(-6)*Fs*10^3)))</f>
        <v>0.29458017115248991</v>
      </c>
      <c r="D29" s="8">
        <f t="shared" ref="D29:D39" si="4">IF(Vin&lt;Vout, A13*SQRT(1-B29)*SQRT(1+1/3*(C29/2/A13)^2)/(1-B29), A13*SQRT(B29)*SQRT(1+1/3*(C29/2/A13)^2))</f>
        <v>9.9739386307694952E-2</v>
      </c>
      <c r="E29" s="8">
        <f t="shared" ref="E29:E39" si="5">IF(Vin&lt;Vout, A13*SQRT(B29)*SQRT(1+1/3*(C29/2/A13)^2)/(1-B29), A13*SQRT(1-B29)*SQRT(1+1/3*(C29/2/A13)^2))</f>
        <v>5.9584184256804403E-2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s="12" customFormat="1" ht="12.9" customHeight="1" x14ac:dyDescent="0.25">
      <c r="A30" s="8">
        <f t="shared" si="2"/>
        <v>1.6225E-2</v>
      </c>
      <c r="B30" s="8">
        <f>IF(Vin&lt;Vout, 1-(Vin + (A30*((DCR+'Power Loss'!$B$52+Ron_l)/1000)))/(Vout+(A30*((DCR+'Power Loss'!$B$52-Ron_u)/1000))), (Vout+('Efficiency Summary'!A30*((DCR+'Power Loss'!$B$69+'Power Loss'!$B$85)/1000)))/(Vin+'Efficiency Summary'!A30*(('Power Loss'!$B$69-'Power Loss'!$B$52)/1000)))</f>
        <v>0.26293093614387708</v>
      </c>
      <c r="C30" s="8">
        <f t="shared" si="3"/>
        <v>0.29448264848114231</v>
      </c>
      <c r="D30" s="8">
        <f t="shared" si="4"/>
        <v>0.10080556134257936</v>
      </c>
      <c r="E30" s="8">
        <f t="shared" si="5"/>
        <v>6.0207590131488818E-2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s="12" customFormat="1" ht="12.9" customHeight="1" x14ac:dyDescent="0.25">
      <c r="A31" s="8">
        <f t="shared" si="2"/>
        <v>3.49E-2</v>
      </c>
      <c r="B31" s="8">
        <f>IF(Vin&lt;Vout, 1-(Vin + (A31*((DCR+'Power Loss'!$B$52+Ron_l)/1000)))/(Vout+(A31*((DCR+'Power Loss'!$B$52-Ron_u)/1000))), (Vout+('Efficiency Summary'!A31*((DCR+'Power Loss'!$B$69+'Power Loss'!$B$85)/1000)))/(Vin+'Efficiency Summary'!A31*(('Power Loss'!$B$69-'Power Loss'!$B$52)/1000)))</f>
        <v>0.26266973524075821</v>
      </c>
      <c r="C31" s="8">
        <f t="shared" si="3"/>
        <v>0.29419010346964913</v>
      </c>
      <c r="D31" s="8">
        <f t="shared" si="4"/>
        <v>0.10692794192628802</v>
      </c>
      <c r="E31" s="8">
        <f t="shared" si="5"/>
        <v>6.3821233808239328E-2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s="12" customFormat="1" ht="12.9" customHeight="1" x14ac:dyDescent="0.25">
      <c r="A32" s="8">
        <f t="shared" si="2"/>
        <v>0.13450000000000001</v>
      </c>
      <c r="B32" s="8">
        <f>IF(Vin&lt;Vout, 1-(Vin + (A32*((DCR+'Power Loss'!$B$52+Ron_l)/1000)))/(Vout+(A32*((DCR+'Power Loss'!$B$52-Ron_u)/1000))), (Vout+('Efficiency Summary'!A32*((DCR+'Power Loss'!$B$69+'Power Loss'!$B$85)/1000)))/(Vin+'Efficiency Summary'!A32*(('Power Loss'!$B$69-'Power Loss'!$B$52)/1000)))</f>
        <v>0.26127718384875476</v>
      </c>
      <c r="C32" s="8">
        <f t="shared" si="3"/>
        <v>0.29263044591060533</v>
      </c>
      <c r="D32" s="8">
        <f t="shared" si="4"/>
        <v>0.18479320840950936</v>
      </c>
      <c r="E32" s="8">
        <f t="shared" si="5"/>
        <v>0.10989956985795336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s="12" customFormat="1" ht="12.9" customHeight="1" x14ac:dyDescent="0.25">
      <c r="A33" s="8">
        <f t="shared" si="2"/>
        <v>0.50800000000000001</v>
      </c>
      <c r="B33" s="8">
        <f>IF(Vin&lt;Vout, 1-(Vin + (A33*((DCR+'Power Loss'!$B$52+Ron_l)/1000)))/(Vout+(A33*((DCR+'Power Loss'!$B$52-Ron_u)/1000))), (Vout+('Efficiency Summary'!A33*((DCR+'Power Loss'!$B$69+'Power Loss'!$B$85)/1000)))/(Vin+'Efficiency Summary'!A33*(('Power Loss'!$B$69-'Power Loss'!$B$52)/1000)))</f>
        <v>0.25606290540228094</v>
      </c>
      <c r="C33" s="8">
        <f t="shared" si="3"/>
        <v>0.28679045405055464</v>
      </c>
      <c r="D33" s="8">
        <f t="shared" si="4"/>
        <v>0.59674347492447832</v>
      </c>
      <c r="E33" s="8">
        <f t="shared" si="5"/>
        <v>0.35010064124815454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s="12" customFormat="1" ht="12.9" customHeight="1" x14ac:dyDescent="0.25">
      <c r="A34" s="8">
        <f t="shared" si="2"/>
        <v>1.006</v>
      </c>
      <c r="B34" s="8">
        <f>IF(Vin&lt;Vout, 1-(Vin + (A34*((DCR+'Power Loss'!$B$52+Ron_l)/1000)))/(Vout+(A34*((DCR+'Power Loss'!$B$52-Ron_u)/1000))), (Vout+('Efficiency Summary'!A34*((DCR+'Power Loss'!$B$69+'Power Loss'!$B$85)/1000)))/(Vin+'Efficiency Summary'!A34*(('Power Loss'!$B$69-'Power Loss'!$B$52)/1000)))</f>
        <v>0.24912960720574007</v>
      </c>
      <c r="C34" s="8">
        <f t="shared" si="3"/>
        <v>0.27902516007042888</v>
      </c>
      <c r="D34" s="8">
        <f t="shared" si="4"/>
        <v>1.164670636701036</v>
      </c>
      <c r="E34" s="8">
        <f t="shared" si="5"/>
        <v>0.67086217804082182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s="12" customFormat="1" ht="12.9" customHeight="1" x14ac:dyDescent="0.25">
      <c r="A35" s="8">
        <f t="shared" si="2"/>
        <v>1.504</v>
      </c>
      <c r="B35" s="8">
        <f>IF(Vin&lt;Vout, 1-(Vin + (A35*((DCR+'Power Loss'!$B$52+Ron_l)/1000)))/(Vout+(A35*((DCR+'Power Loss'!$B$52-Ron_u)/1000))), (Vout+('Efficiency Summary'!A35*((DCR+'Power Loss'!$B$69+'Power Loss'!$B$85)/1000)))/(Vin+'Efficiency Summary'!A35*(('Power Loss'!$B$69-'Power Loss'!$B$52)/1000)))</f>
        <v>0.24221801297416901</v>
      </c>
      <c r="C35" s="8">
        <f t="shared" si="3"/>
        <v>0.27128417453106929</v>
      </c>
      <c r="D35" s="8">
        <f t="shared" si="4"/>
        <v>1.7300698771179037</v>
      </c>
      <c r="E35" s="8">
        <f t="shared" si="5"/>
        <v>0.97812582218521005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s="12" customFormat="1" ht="12.9" customHeight="1" x14ac:dyDescent="0.25">
      <c r="A36" s="8">
        <f t="shared" si="2"/>
        <v>1.7530000000000001</v>
      </c>
      <c r="B36" s="8">
        <f>IF(Vin&lt;Vout, 1-(Vin + (A36*((DCR+'Power Loss'!$B$52+Ron_l)/1000)))/(Vout+(A36*((DCR+'Power Loss'!$B$52-Ron_u)/1000))), (Vout+('Efficiency Summary'!A36*((DCR+'Power Loss'!$B$69+'Power Loss'!$B$85)/1000)))/(Vin+'Efficiency Summary'!A36*(('Power Loss'!$B$69-'Power Loss'!$B$52)/1000)))</f>
        <v>0.23877032302234269</v>
      </c>
      <c r="C36" s="8">
        <f t="shared" si="3"/>
        <v>0.26742276178502378</v>
      </c>
      <c r="D36" s="8">
        <f t="shared" si="4"/>
        <v>2.0111514332015723</v>
      </c>
      <c r="E36" s="8">
        <f t="shared" si="5"/>
        <v>1.1263596668887812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s="12" customFormat="1" ht="12.9" customHeight="1" x14ac:dyDescent="0.25">
      <c r="A37" s="8">
        <f t="shared" si="2"/>
        <v>2.0020000000000002</v>
      </c>
      <c r="B37" s="8">
        <f>IF(Vin&lt;Vout, 1-(Vin + (A37*((DCR+'Power Loss'!$B$52+Ron_l)/1000)))/(Vout+(A37*((DCR+'Power Loss'!$B$52-Ron_u)/1000))), (Vout+('Efficiency Summary'!A37*((DCR+'Power Loss'!$B$69+'Power Loss'!$B$85)/1000)))/(Vin+'Efficiency Summary'!A37*(('Power Loss'!$B$69-'Power Loss'!$B$52)/1000)))</f>
        <v>0.23532802095384331</v>
      </c>
      <c r="C37" s="8">
        <f t="shared" si="3"/>
        <v>0.26356738346830449</v>
      </c>
      <c r="D37" s="8">
        <f t="shared" si="4"/>
        <v>2.2910781134348186</v>
      </c>
      <c r="E37" s="8">
        <f t="shared" si="5"/>
        <v>1.2709812092534023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s="12" customFormat="1" ht="12.9" customHeight="1" x14ac:dyDescent="0.25">
      <c r="A38" s="8">
        <f t="shared" si="2"/>
        <v>2.2509999999999999</v>
      </c>
      <c r="B38" s="8">
        <f>IF(Vin&lt;Vout, 1-(Vin + (A38*((DCR+'Power Loss'!$B$52+Ron_l)/1000)))/(Vout+(A38*((DCR+'Power Loss'!$B$52-Ron_u)/1000))), (Vout+('Efficiency Summary'!A38*((DCR+'Power Loss'!$B$69+'Power Loss'!$B$85)/1000)))/(Vin+'Efficiency Summary'!A38*(('Power Loss'!$B$69-'Power Loss'!$B$52)/1000)))</f>
        <v>0.2318910941486465</v>
      </c>
      <c r="C38" s="8">
        <f t="shared" si="3"/>
        <v>0.25971802544648404</v>
      </c>
      <c r="D38" s="8">
        <f t="shared" si="4"/>
        <v>2.5698327255968749</v>
      </c>
      <c r="E38" s="8">
        <f t="shared" si="5"/>
        <v>1.412002578946125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s="12" customFormat="1" ht="12.9" customHeight="1" x14ac:dyDescent="0.25">
      <c r="A39" s="8">
        <f t="shared" si="2"/>
        <v>2.5</v>
      </c>
      <c r="B39" s="8">
        <f>IF(Vin&lt;Vout, 1-(Vin + (A39*((DCR+'Power Loss'!$B$52+Ron_l)/1000)))/(Vout+(A39*((DCR+'Power Loss'!$B$52-Ron_u)/1000))), (Vout+('Efficiency Summary'!A39*((DCR+'Power Loss'!$B$69+'Power Loss'!$B$85)/1000)))/(Vin+'Efficiency Summary'!A39*(('Power Loss'!$B$69-'Power Loss'!$B$52)/1000)))</f>
        <v>0.22845953002610964</v>
      </c>
      <c r="C39" s="8">
        <f t="shared" si="3"/>
        <v>0.25587467362924277</v>
      </c>
      <c r="D39" s="8">
        <f t="shared" si="4"/>
        <v>2.8474108185217601</v>
      </c>
      <c r="E39" s="8">
        <f t="shared" si="5"/>
        <v>1.5494423234802961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22.5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20.25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8"/>
      <c r="O41" s="8"/>
      <c r="P41" s="8"/>
      <c r="Q41" s="8"/>
      <c r="R41" s="8"/>
      <c r="S41" s="8"/>
      <c r="T41" s="8"/>
    </row>
    <row r="42" spans="1:20" ht="12.9" customHeight="1" x14ac:dyDescent="0.3">
      <c r="A42" s="27" t="s">
        <v>141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8"/>
      <c r="O42" s="8"/>
      <c r="P42" s="8"/>
      <c r="Q42" s="8"/>
      <c r="R42" s="8"/>
      <c r="S42" s="8"/>
      <c r="T42" s="8"/>
    </row>
    <row r="43" spans="1:20" ht="12.9" customHeight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8"/>
      <c r="O43" s="8"/>
      <c r="P43" s="8"/>
      <c r="Q43" s="8"/>
      <c r="R43" s="8"/>
      <c r="S43" s="8"/>
      <c r="T43" s="8"/>
    </row>
    <row r="44" spans="1:20" ht="12.9" customHeight="1" x14ac:dyDescent="0.25">
      <c r="A44" s="17" t="s">
        <v>142</v>
      </c>
      <c r="B44" s="17">
        <v>2</v>
      </c>
      <c r="C44" s="17" t="s">
        <v>10</v>
      </c>
      <c r="D44" s="17"/>
      <c r="E44" s="17"/>
      <c r="F44" s="17"/>
      <c r="G44" s="17"/>
      <c r="H44" s="17"/>
      <c r="I44" s="17"/>
      <c r="J44" s="29" t="s">
        <v>143</v>
      </c>
      <c r="K44" s="17">
        <v>1</v>
      </c>
      <c r="L44" s="17" t="s">
        <v>4</v>
      </c>
      <c r="M44" s="17"/>
      <c r="N44" s="8"/>
      <c r="O44" s="8"/>
      <c r="P44" s="8"/>
      <c r="Q44" s="8"/>
      <c r="R44" s="8"/>
      <c r="S44" s="8"/>
      <c r="T44" s="8"/>
    </row>
    <row r="45" spans="1:20" ht="12.9" customHeight="1" x14ac:dyDescent="0.25">
      <c r="A45" s="17" t="s">
        <v>144</v>
      </c>
      <c r="B45" s="17">
        <f>1.015*Vout</f>
        <v>3.8569999999999993</v>
      </c>
      <c r="C45" s="17" t="s">
        <v>4</v>
      </c>
      <c r="D45" s="17"/>
      <c r="E45" s="17"/>
      <c r="F45" s="17"/>
      <c r="G45" s="17"/>
      <c r="H45" s="17"/>
      <c r="I45" s="17"/>
      <c r="J45" s="29" t="s">
        <v>145</v>
      </c>
      <c r="K45" s="17">
        <v>5</v>
      </c>
      <c r="L45" s="17" t="s">
        <v>146</v>
      </c>
      <c r="M45" s="17"/>
      <c r="N45" s="8"/>
      <c r="O45" s="8"/>
      <c r="P45" s="8"/>
      <c r="Q45" s="8"/>
      <c r="R45" s="8"/>
      <c r="S45" s="8"/>
      <c r="T45" s="8"/>
    </row>
    <row r="46" spans="1:20" ht="12.9" customHeight="1" x14ac:dyDescent="0.25">
      <c r="A46" s="17" t="s">
        <v>147</v>
      </c>
      <c r="B46" s="17">
        <v>0.2</v>
      </c>
      <c r="C46" s="17" t="s">
        <v>10</v>
      </c>
      <c r="D46" s="17"/>
      <c r="E46" s="17"/>
      <c r="F46" s="17"/>
      <c r="G46" s="17"/>
      <c r="H46" s="17"/>
      <c r="I46" s="17"/>
      <c r="J46" s="17" t="s">
        <v>105</v>
      </c>
      <c r="K46" s="17">
        <v>1500</v>
      </c>
      <c r="L46" s="17" t="s">
        <v>148</v>
      </c>
      <c r="M46" s="17"/>
      <c r="N46" s="8"/>
      <c r="O46" s="8"/>
      <c r="P46" s="8"/>
      <c r="Q46" s="8"/>
      <c r="R46" s="8"/>
      <c r="S46" s="8"/>
      <c r="T46" s="8"/>
    </row>
    <row r="47" spans="1:20" s="18" customFormat="1" ht="12.9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8"/>
      <c r="O47" s="10"/>
      <c r="P47" s="10"/>
      <c r="Q47" s="10"/>
      <c r="R47" s="10"/>
      <c r="S47" s="10"/>
      <c r="T47" s="10"/>
    </row>
    <row r="48" spans="1:20" s="18" customFormat="1" ht="12.9" customHeight="1" x14ac:dyDescent="0.25">
      <c r="A48" s="17" t="s">
        <v>149</v>
      </c>
      <c r="B48" s="30">
        <f>+$B$44*Lout*0.000001/(Vin-Vout)</f>
        <v>-1.9999999999999999E-6</v>
      </c>
      <c r="C48" s="17" t="s">
        <v>150</v>
      </c>
      <c r="D48" s="17"/>
      <c r="E48" s="17"/>
      <c r="F48" s="17"/>
      <c r="G48" s="17"/>
      <c r="H48" s="17"/>
      <c r="I48" s="17" t="s">
        <v>151</v>
      </c>
      <c r="J48" s="17"/>
      <c r="K48" s="17"/>
      <c r="L48" s="17"/>
      <c r="M48" s="17"/>
      <c r="N48" s="8"/>
      <c r="O48" s="10"/>
      <c r="P48" s="10"/>
      <c r="Q48" s="10"/>
      <c r="R48" s="10"/>
      <c r="S48" s="10"/>
      <c r="T48" s="10"/>
    </row>
    <row r="49" spans="1:20" s="18" customFormat="1" ht="12.9" customHeight="1" x14ac:dyDescent="0.25">
      <c r="A49" s="8" t="s">
        <v>152</v>
      </c>
      <c r="B49" s="31">
        <f>+$B$44*Lout*0.000001/(Vout)</f>
        <v>5.2631578947368416E-7</v>
      </c>
      <c r="C49" s="8" t="s">
        <v>150</v>
      </c>
      <c r="D49" s="8"/>
      <c r="E49" s="8"/>
      <c r="F49" s="8"/>
      <c r="G49" s="8"/>
      <c r="H49" s="8"/>
      <c r="I49" s="8" t="s">
        <v>153</v>
      </c>
      <c r="J49" s="8"/>
      <c r="K49" s="8"/>
      <c r="L49" s="8"/>
      <c r="M49" s="8"/>
      <c r="N49" s="8"/>
      <c r="O49" s="10"/>
      <c r="P49" s="10"/>
      <c r="Q49" s="10"/>
      <c r="R49" s="10"/>
      <c r="S49" s="10"/>
      <c r="T49" s="10"/>
    </row>
    <row r="50" spans="1:20" s="18" customFormat="1" ht="12.9" customHeight="1" x14ac:dyDescent="0.25">
      <c r="A50" s="8" t="s">
        <v>154</v>
      </c>
      <c r="B50" s="31">
        <f>1/(B48+B49)</f>
        <v>-678571.42857142852</v>
      </c>
      <c r="C50" s="8" t="s">
        <v>155</v>
      </c>
      <c r="D50" s="8"/>
      <c r="E50" s="8"/>
      <c r="F50" s="8"/>
      <c r="G50" s="8"/>
      <c r="H50" s="8"/>
      <c r="I50" s="32" t="s">
        <v>156</v>
      </c>
      <c r="J50" s="8"/>
      <c r="K50" s="8"/>
      <c r="L50" s="8"/>
      <c r="M50" s="8"/>
      <c r="N50" s="8"/>
      <c r="O50" s="10"/>
      <c r="P50" s="10"/>
      <c r="Q50" s="10"/>
      <c r="R50" s="10"/>
      <c r="S50" s="10"/>
      <c r="T50" s="10"/>
    </row>
    <row r="51" spans="1:20" s="18" customFormat="1" ht="12.9" customHeight="1" x14ac:dyDescent="0.25">
      <c r="A51" s="8" t="s">
        <v>157</v>
      </c>
      <c r="B51" s="31">
        <f>2*B46*($B$44/2-B46)/(($B$45-Vout)*$B$44*Cap)</f>
        <v>0.18713450292397829</v>
      </c>
      <c r="C51" s="8" t="s">
        <v>155</v>
      </c>
      <c r="D51" s="8"/>
      <c r="E51" s="8"/>
      <c r="F51" s="8"/>
      <c r="G51" s="8"/>
      <c r="H51" s="8"/>
      <c r="I51" s="32" t="s">
        <v>158</v>
      </c>
      <c r="J51" s="8"/>
      <c r="K51" s="8"/>
      <c r="L51" s="8"/>
      <c r="M51" s="8"/>
      <c r="N51" s="8"/>
      <c r="O51" s="10"/>
      <c r="P51" s="10"/>
      <c r="Q51" s="10"/>
      <c r="R51" s="10"/>
      <c r="S51" s="10"/>
      <c r="T51" s="10"/>
    </row>
    <row r="52" spans="1:20" s="18" customFormat="1" ht="12.9" customHeight="1" x14ac:dyDescent="0.25">
      <c r="A52" s="8" t="s">
        <v>159</v>
      </c>
      <c r="B52" s="31">
        <f>+DCR*0.001*2*'Efficiency Summary'!B46*'Efficiency Summary'!$B$44/3</f>
        <v>3.2000000000000002E-3</v>
      </c>
      <c r="C52" s="8" t="s">
        <v>47</v>
      </c>
      <c r="D52" s="8"/>
      <c r="E52" s="8"/>
      <c r="F52" s="8"/>
      <c r="G52" s="8"/>
      <c r="H52" s="8"/>
      <c r="I52" s="8" t="s">
        <v>160</v>
      </c>
      <c r="J52" s="8"/>
      <c r="K52" s="8"/>
      <c r="L52" s="8"/>
      <c r="M52" s="8"/>
      <c r="N52" s="8"/>
      <c r="O52" s="10"/>
      <c r="P52" s="10"/>
      <c r="Q52" s="10"/>
      <c r="R52" s="10"/>
      <c r="S52" s="10"/>
      <c r="T52" s="10"/>
    </row>
    <row r="53" spans="1:20" s="18" customFormat="1" ht="12.9" customHeight="1" x14ac:dyDescent="0.25">
      <c r="A53" s="8" t="s">
        <v>161</v>
      </c>
      <c r="B53" s="31">
        <f>+DCR*0.001*$B$44*B46/6</f>
        <v>8.0000000000000004E-4</v>
      </c>
      <c r="C53" s="8" t="s">
        <v>47</v>
      </c>
      <c r="D53" s="8"/>
      <c r="E53" s="8"/>
      <c r="F53" s="8"/>
      <c r="G53" s="8"/>
      <c r="H53" s="8"/>
      <c r="I53" s="8" t="s">
        <v>160</v>
      </c>
      <c r="J53" s="8"/>
      <c r="K53" s="8"/>
      <c r="L53" s="8"/>
      <c r="M53" s="8"/>
      <c r="N53" s="8"/>
      <c r="O53" s="10"/>
      <c r="P53" s="10"/>
      <c r="Q53" s="10"/>
      <c r="R53" s="10"/>
      <c r="S53" s="10"/>
      <c r="T53" s="10"/>
    </row>
    <row r="54" spans="1:20" s="18" customFormat="1" ht="12.9" customHeight="1" x14ac:dyDescent="0.25">
      <c r="A54" s="8" t="s">
        <v>162</v>
      </c>
      <c r="B54" s="8">
        <f>2*Ron_u*0.001*'Efficiency Summary'!B46*'Efficiency Summary'!$B$44*Vout/(3*Vin)</f>
        <v>9.0476190476190509E-3</v>
      </c>
      <c r="C54" s="8" t="s">
        <v>47</v>
      </c>
      <c r="D54" s="8"/>
      <c r="E54" s="8"/>
      <c r="F54" s="8"/>
      <c r="G54" s="8"/>
      <c r="H54" s="8"/>
      <c r="I54" s="8" t="s">
        <v>163</v>
      </c>
      <c r="J54" s="8"/>
      <c r="K54" s="8"/>
      <c r="L54" s="8"/>
      <c r="M54" s="8"/>
      <c r="N54" s="8"/>
      <c r="O54" s="10"/>
      <c r="P54" s="10"/>
      <c r="Q54" s="10"/>
      <c r="R54" s="10"/>
      <c r="S54" s="10"/>
      <c r="T54" s="10"/>
    </row>
    <row r="55" spans="1:20" s="18" customFormat="1" ht="12.9" customHeight="1" x14ac:dyDescent="0.25">
      <c r="A55" s="8" t="s">
        <v>164</v>
      </c>
      <c r="B55" s="31">
        <f>+B46*(Vout*(Vin-Vout)/('Efficiency Summary'!$B$44*Lout*0.000001))*'Power Loss'!$B$92*0.000000001</f>
        <v>-1.5200000000000001E-3</v>
      </c>
      <c r="C55" s="8" t="s">
        <v>47</v>
      </c>
      <c r="D55" s="8"/>
      <c r="E55" s="8"/>
      <c r="F55" s="8"/>
      <c r="G55" s="8"/>
      <c r="H55" s="8"/>
      <c r="I55" s="8" t="s">
        <v>165</v>
      </c>
      <c r="J55" s="8"/>
      <c r="K55" s="8"/>
      <c r="L55" s="8"/>
      <c r="M55" s="8"/>
      <c r="N55" s="8"/>
      <c r="O55" s="10"/>
      <c r="P55" s="10"/>
      <c r="Q55" s="10"/>
      <c r="R55" s="10"/>
      <c r="S55" s="10"/>
      <c r="T55" s="10"/>
    </row>
    <row r="56" spans="1:20" s="18" customFormat="1" ht="12.9" customHeight="1" x14ac:dyDescent="0.25">
      <c r="A56" s="8" t="s">
        <v>166</v>
      </c>
      <c r="B56" s="8">
        <f>+'Power Loss'!$B$89*0.000000001*Vin^2*2*'Efficiency Summary'!B46*Vout*(Vin-Vout)/(Lout*0.000001*'Power Loss'!$B$119*'Efficiency Summary'!$B$44^2)</f>
        <v>-1.7024000000000004E-3</v>
      </c>
      <c r="C56" s="8" t="s">
        <v>47</v>
      </c>
      <c r="D56" s="8"/>
      <c r="E56" s="8"/>
      <c r="F56" s="8"/>
      <c r="G56" s="8"/>
      <c r="H56" s="8"/>
      <c r="I56" s="8" t="s">
        <v>167</v>
      </c>
      <c r="J56" s="8"/>
      <c r="K56" s="8"/>
      <c r="L56" s="8"/>
      <c r="M56" s="8"/>
      <c r="N56" s="8"/>
      <c r="O56" s="10"/>
      <c r="P56" s="10"/>
      <c r="Q56" s="10"/>
      <c r="R56" s="10"/>
      <c r="S56" s="10"/>
      <c r="T56" s="10"/>
    </row>
    <row r="57" spans="1:20" s="18" customFormat="1" ht="12.9" customHeight="1" x14ac:dyDescent="0.25">
      <c r="A57" s="8" t="s">
        <v>168</v>
      </c>
      <c r="B57" s="8">
        <f>2*Ron_l*0.001*'Efficiency Summary'!$B$46*'Efficiency Summary'!$B$44*(Vin-Vout)/(3*Vin)</f>
        <v>-2.380952380952382E-3</v>
      </c>
      <c r="C57" s="8" t="s">
        <v>47</v>
      </c>
      <c r="D57" s="8"/>
      <c r="E57" s="8"/>
      <c r="F57" s="8"/>
      <c r="G57" s="8"/>
      <c r="H57" s="8"/>
      <c r="I57" s="8" t="s">
        <v>169</v>
      </c>
      <c r="J57" s="8"/>
      <c r="K57" s="8"/>
      <c r="L57" s="8"/>
      <c r="M57" s="8"/>
      <c r="N57" s="8"/>
      <c r="O57" s="10"/>
      <c r="P57" s="10"/>
      <c r="Q57" s="10"/>
      <c r="R57" s="10"/>
      <c r="S57" s="10"/>
      <c r="T57" s="10"/>
    </row>
    <row r="58" spans="1:20" s="18" customFormat="1" ht="12.9" customHeight="1" x14ac:dyDescent="0.25">
      <c r="A58" s="8" t="s">
        <v>170</v>
      </c>
      <c r="B58" s="8">
        <f>+'Power Loss'!$B$107*0.000000001*Vin^2*2*'Efficiency Summary'!B46*Vout*(Vin-Vout)/(Lout*0.000001*'Power Loss'!$B$119*'Efficiency Summary'!$B$44^2)</f>
        <v>-1.7024000000000004E-3</v>
      </c>
      <c r="C58" s="8" t="s">
        <v>47</v>
      </c>
      <c r="D58" s="8"/>
      <c r="E58" s="8"/>
      <c r="F58" s="8"/>
      <c r="G58" s="8"/>
      <c r="H58" s="8"/>
      <c r="I58" s="8" t="s">
        <v>171</v>
      </c>
      <c r="J58" s="8"/>
      <c r="K58" s="8"/>
      <c r="L58" s="8"/>
      <c r="M58" s="8"/>
      <c r="N58" s="8"/>
      <c r="O58" s="10"/>
      <c r="P58" s="10"/>
      <c r="Q58" s="10"/>
      <c r="R58" s="10"/>
      <c r="S58" s="10"/>
      <c r="T58" s="10"/>
    </row>
    <row r="59" spans="1:20" s="18" customFormat="1" ht="12.9" customHeight="1" x14ac:dyDescent="0.25">
      <c r="A59" s="8" t="s">
        <v>172</v>
      </c>
      <c r="B59" s="8">
        <f>+$K$44*$K$45*0.000000001*2*B46*Vout*(Vin-Vout)/('Efficiency Summary'!$B$44^2*Lout*0.000001*Vin)</f>
        <v>-6.7857142857142866E-4</v>
      </c>
      <c r="C59" s="8" t="s">
        <v>47</v>
      </c>
      <c r="D59" s="8"/>
      <c r="E59" s="8"/>
      <c r="F59" s="8"/>
      <c r="G59" s="8"/>
      <c r="H59" s="8"/>
      <c r="I59" s="8" t="s">
        <v>173</v>
      </c>
      <c r="J59" s="8"/>
      <c r="K59" s="8"/>
      <c r="L59" s="8"/>
      <c r="M59" s="8"/>
      <c r="N59" s="8"/>
      <c r="O59" s="10"/>
      <c r="P59" s="10"/>
      <c r="Q59" s="10"/>
      <c r="R59" s="10"/>
      <c r="S59" s="10"/>
      <c r="T59" s="10"/>
    </row>
    <row r="60" spans="1:20" s="18" customFormat="1" ht="12.9" customHeight="1" x14ac:dyDescent="0.25">
      <c r="A60" s="8" t="s">
        <v>174</v>
      </c>
      <c r="B60" s="8">
        <f>+ESR*0.001*B46*$B$44/(6*ncap)</f>
        <v>1.1111111111111112E-4</v>
      </c>
      <c r="C60" s="8" t="s">
        <v>47</v>
      </c>
      <c r="D60" s="8"/>
      <c r="E60" s="8"/>
      <c r="F60" s="8"/>
      <c r="G60" s="8"/>
      <c r="H60" s="8"/>
      <c r="I60" s="8" t="s">
        <v>175</v>
      </c>
      <c r="J60" s="8"/>
      <c r="K60" s="8"/>
      <c r="L60" s="8"/>
      <c r="M60" s="8"/>
      <c r="N60" s="8"/>
      <c r="O60" s="10"/>
      <c r="P60" s="10"/>
      <c r="Q60" s="10"/>
      <c r="R60" s="10"/>
      <c r="S60" s="10"/>
      <c r="T60" s="10"/>
    </row>
    <row r="61" spans="1:20" s="18" customFormat="1" ht="12.9" customHeight="1" x14ac:dyDescent="0.25">
      <c r="A61" s="8" t="s">
        <v>176</v>
      </c>
      <c r="B61" s="8">
        <f>+$K$46*0.000001*(1+20*B46)*Vin</f>
        <v>2.0999999999999998E-2</v>
      </c>
      <c r="C61" s="8" t="s">
        <v>47</v>
      </c>
      <c r="D61" s="8"/>
      <c r="E61" s="8"/>
      <c r="F61" s="8"/>
      <c r="G61" s="8"/>
      <c r="H61" s="8"/>
      <c r="I61" s="8" t="s">
        <v>177</v>
      </c>
      <c r="J61" s="8"/>
      <c r="K61" s="8"/>
      <c r="L61" s="8"/>
      <c r="M61" s="8"/>
      <c r="N61" s="8"/>
      <c r="O61" s="10"/>
      <c r="P61" s="10"/>
      <c r="Q61" s="10"/>
      <c r="R61" s="10"/>
      <c r="S61" s="10"/>
      <c r="T61" s="10"/>
    </row>
    <row r="62" spans="1:20" s="18" customFormat="1" ht="12.9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10"/>
      <c r="P62" s="10"/>
      <c r="Q62" s="10"/>
      <c r="R62" s="10"/>
      <c r="S62" s="10"/>
      <c r="T62" s="10"/>
    </row>
    <row r="63" spans="1:20" s="18" customFormat="1" ht="12.9" customHeight="1" x14ac:dyDescent="0.25">
      <c r="A63" s="8" t="s">
        <v>178</v>
      </c>
      <c r="B63" s="31">
        <f>SUM(B52:B61)</f>
        <v>2.6174406349206349E-2</v>
      </c>
      <c r="C63" s="8" t="s">
        <v>47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10"/>
      <c r="P63" s="10"/>
      <c r="Q63" s="10"/>
      <c r="R63" s="10"/>
      <c r="S63" s="10"/>
      <c r="T63" s="10"/>
    </row>
    <row r="64" spans="1:20" s="18" customFormat="1" ht="12.9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s="18" customFormat="1" ht="12.9" customHeight="1" x14ac:dyDescent="0.25">
      <c r="A65" s="10" t="s">
        <v>179</v>
      </c>
      <c r="B65" s="28">
        <f>+Vout*B46/(Vout*B46+'Efficiency Summary'!B63)</f>
        <v>0.96670661606658814</v>
      </c>
      <c r="C65" s="10" t="s">
        <v>13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s="18" customFormat="1" ht="12.9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s="18" customFormat="1" ht="12.9" customHeight="1" x14ac:dyDescent="0.25">
      <c r="A67" s="10" t="s">
        <v>180</v>
      </c>
      <c r="B67" s="10" t="s">
        <v>181</v>
      </c>
      <c r="C67" s="10" t="s">
        <v>149</v>
      </c>
      <c r="D67" s="10" t="s">
        <v>152</v>
      </c>
      <c r="E67" s="10" t="s">
        <v>154</v>
      </c>
      <c r="F67" s="10" t="s">
        <v>157</v>
      </c>
      <c r="G67" s="10" t="s">
        <v>159</v>
      </c>
      <c r="H67" s="10" t="s">
        <v>161</v>
      </c>
      <c r="I67" s="10" t="s">
        <v>162</v>
      </c>
      <c r="J67" s="10" t="s">
        <v>164</v>
      </c>
      <c r="K67" s="10" t="s">
        <v>166</v>
      </c>
      <c r="L67" s="10" t="s">
        <v>168</v>
      </c>
      <c r="M67" s="10" t="s">
        <v>170</v>
      </c>
      <c r="N67" s="10" t="s">
        <v>172</v>
      </c>
      <c r="O67" s="10" t="s">
        <v>174</v>
      </c>
      <c r="P67" s="10" t="s">
        <v>176</v>
      </c>
      <c r="Q67" s="10" t="s">
        <v>45</v>
      </c>
      <c r="R67" s="10"/>
      <c r="S67" s="10"/>
      <c r="T67" s="10"/>
    </row>
    <row r="68" spans="1:20" s="18" customFormat="1" ht="12.9" customHeight="1" x14ac:dyDescent="0.25">
      <c r="A68" s="10">
        <v>1</v>
      </c>
      <c r="B68" s="10">
        <f>+Imin</f>
        <v>0.01</v>
      </c>
      <c r="C68" s="28">
        <f t="shared" ref="C68:C111" si="6">+$B$44*Lout*0.000001/(Vin-Vout)</f>
        <v>-1.9999999999999999E-6</v>
      </c>
      <c r="D68" s="28">
        <f t="shared" ref="D68:D111" si="7">+$B$44*Lout*0.000001/(Vout)</f>
        <v>5.2631578947368416E-7</v>
      </c>
      <c r="E68" s="28">
        <f>1/(C68+D68)</f>
        <v>-678571.42857142852</v>
      </c>
      <c r="F68" s="28">
        <f t="shared" ref="F68:F111" si="8">2*B68*($B$44/2-B68)/(($B$45-Vout)*$B$44*Cap)</f>
        <v>1.1578947368421156E-2</v>
      </c>
      <c r="G68" s="28">
        <f>+DCR*0.001*2*'Efficiency Summary'!B68*'Efficiency Summary'!$B$44/3</f>
        <v>1.6000000000000001E-4</v>
      </c>
      <c r="H68" s="28">
        <f t="shared" ref="H68" si="9">+DCR*0.001*$B$44*B68/6</f>
        <v>4.0000000000000003E-5</v>
      </c>
      <c r="I68" s="10">
        <f>2*Ron_u*0.001*'Efficiency Summary'!B68*'Efficiency Summary'!$B$44*Vout/(3*Vin)</f>
        <v>4.5238095238095248E-4</v>
      </c>
      <c r="J68" s="28">
        <f>+B68*(Vout*(Vin-Vout)/('Efficiency Summary'!$B$44*Lout*0.000001))*'Power Loss'!$B$92*0.000000001</f>
        <v>-7.6000000000000004E-5</v>
      </c>
      <c r="K68" s="10">
        <f>+'Power Loss'!$B$89*0.000000001*Vin^2*2*'Efficiency Summary'!B68*Vout*(Vin-Vout)/(Lout*0.000001*'Power Loss'!$B$119*'Efficiency Summary'!$B$44^2)</f>
        <v>-8.5119999999999998E-5</v>
      </c>
      <c r="L68" s="10">
        <f>2*Ron_l*0.001*'Efficiency Summary'!$B$46*'Efficiency Summary'!$B$44*(Vin-Vout)/(3*Vin)</f>
        <v>-2.380952380952382E-3</v>
      </c>
      <c r="M68" s="10">
        <f>+'Power Loss'!$B$107*0.000000001*Vin^2*2*'Efficiency Summary'!B68*Vout*(Vin-Vout)/(Lout*0.000001*'Power Loss'!$B$119*'Efficiency Summary'!$B$44^2)</f>
        <v>-8.5119999999999998E-5</v>
      </c>
      <c r="N68" s="10">
        <f>+$K$44*$K$45*0.000000001*2*B68*Vout*(Vin-Vout)/('Efficiency Summary'!$B$44^2*Lout*0.000001*Vin)</f>
        <v>-3.392857142857143E-5</v>
      </c>
      <c r="O68" s="10">
        <f t="shared" ref="O68" si="10">+ESR*0.001*B68*$B$44/(6*ncap)</f>
        <v>5.5555555555555558E-6</v>
      </c>
      <c r="P68" s="10">
        <f t="shared" ref="P68:P111" si="11">+$K$46*0.000001*(1+20*B68)*Vin</f>
        <v>5.0399999999999993E-3</v>
      </c>
      <c r="Q68" s="28">
        <v>165.75859652295796</v>
      </c>
      <c r="R68" s="10"/>
      <c r="S68" s="10"/>
      <c r="T68" s="10"/>
    </row>
    <row r="69" spans="1:20" s="18" customFormat="1" ht="12.9" customHeight="1" x14ac:dyDescent="0.25">
      <c r="A69" s="10">
        <f>+A68+2</f>
        <v>3</v>
      </c>
      <c r="B69" s="10">
        <f t="shared" ref="B69:B110" si="12">+Imin+($B$44-Imin)*0.01*A69/2</f>
        <v>3.9850000000000003E-2</v>
      </c>
      <c r="C69" s="28">
        <f t="shared" si="6"/>
        <v>-1.9999999999999999E-6</v>
      </c>
      <c r="D69" s="28">
        <f t="shared" si="7"/>
        <v>5.2631578947368416E-7</v>
      </c>
      <c r="E69" s="28">
        <f>1/(C69+D69)</f>
        <v>-678571.42857142852</v>
      </c>
      <c r="F69" s="28">
        <f t="shared" si="8"/>
        <v>4.4750850877193382E-2</v>
      </c>
      <c r="G69" s="28">
        <f>+DCR*0.001*2*'Efficiency Summary'!B69*'Efficiency Summary'!$B$44/3</f>
        <v>6.376000000000001E-4</v>
      </c>
      <c r="H69" s="28">
        <f t="shared" ref="H69:H111" si="13">+DCR*0.001*$B$44*B69/6</f>
        <v>1.5940000000000003E-4</v>
      </c>
      <c r="I69" s="10">
        <f>2*Ron_u*0.001*'Efficiency Summary'!B69*'Efficiency Summary'!$B$44*Vout/(3*Vin)</f>
        <v>1.8027380952380957E-3</v>
      </c>
      <c r="J69" s="28">
        <f>+B69*(Vout*(Vin-Vout)/('Efficiency Summary'!$B$44*Lout*0.000001))*'Power Loss'!$B$92*0.000000001</f>
        <v>-3.0286000000000001E-4</v>
      </c>
      <c r="K69" s="10">
        <f>+'Power Loss'!$B$89*0.000000001*Vin^2*2*'Efficiency Summary'!B69*Vout*(Vin-Vout)/(Lout*0.000001*'Power Loss'!$B$119*'Efficiency Summary'!$B$44^2)</f>
        <v>-3.3920320000000001E-4</v>
      </c>
      <c r="L69" s="10">
        <f>2*Ron_l*0.001*'Efficiency Summary'!$B$46*'Efficiency Summary'!$B$44*(Vin-Vout)/(3*Vin)</f>
        <v>-2.380952380952382E-3</v>
      </c>
      <c r="M69" s="10">
        <f>+'Power Loss'!$B$107*0.000000001*Vin^2*2*'Efficiency Summary'!B69*Vout*(Vin-Vout)/(Lout*0.000001*'Power Loss'!$B$119*'Efficiency Summary'!$B$44^2)</f>
        <v>-3.3920320000000001E-4</v>
      </c>
      <c r="N69" s="10">
        <f>+$K$44*$K$45*0.000000001*2*B69*Vout*(Vin-Vout)/('Efficiency Summary'!$B$44^2*Lout*0.000001*Vin)</f>
        <v>-1.3520535714285715E-4</v>
      </c>
      <c r="O69" s="10">
        <f t="shared" ref="O69:O111" si="14">+ESR*0.001*B69*$B$44/(6*ncap)</f>
        <v>2.213888888888889E-5</v>
      </c>
      <c r="P69" s="10">
        <f t="shared" si="11"/>
        <v>7.547400000000001E-3</v>
      </c>
      <c r="Q69" s="28">
        <v>118.91042829253932</v>
      </c>
      <c r="R69" s="10"/>
      <c r="S69" s="10"/>
      <c r="T69" s="10"/>
    </row>
    <row r="70" spans="1:20" s="18" customFormat="1" ht="12.9" customHeight="1" x14ac:dyDescent="0.25">
      <c r="A70" s="10">
        <f t="shared" ref="A70:A111" si="15">+A69+2</f>
        <v>5</v>
      </c>
      <c r="B70" s="10">
        <f t="shared" si="12"/>
        <v>5.9750000000000004E-2</v>
      </c>
      <c r="C70" s="28">
        <f t="shared" si="6"/>
        <v>-1.9999999999999999E-6</v>
      </c>
      <c r="D70" s="28">
        <f t="shared" si="7"/>
        <v>5.2631578947368416E-7</v>
      </c>
      <c r="E70" s="28">
        <f t="shared" ref="E70:E111" si="16">1/(C70+D70)</f>
        <v>-678571.42857142852</v>
      </c>
      <c r="F70" s="28">
        <f t="shared" si="8"/>
        <v>6.5707529239766665E-2</v>
      </c>
      <c r="G70" s="28">
        <f>+DCR*0.001*2*'Efficiency Summary'!B70*'Efficiency Summary'!$B$44/3</f>
        <v>9.5600000000000014E-4</v>
      </c>
      <c r="H70" s="28">
        <f t="shared" si="13"/>
        <v>2.3900000000000004E-4</v>
      </c>
      <c r="I70" s="10">
        <f>2*Ron_u*0.001*'Efficiency Summary'!B70*'Efficiency Summary'!$B$44*Vout/(3*Vin)</f>
        <v>2.7029761904761914E-3</v>
      </c>
      <c r="J70" s="28">
        <f>+B70*(Vout*(Vin-Vout)/('Efficiency Summary'!$B$44*Lout*0.000001))*'Power Loss'!$B$92*0.000000001</f>
        <v>-4.5410000000000009E-4</v>
      </c>
      <c r="K70" s="10">
        <f>+'Power Loss'!$B$89*0.000000001*Vin^2*2*'Efficiency Summary'!B70*Vout*(Vin-Vout)/(Lout*0.000001*'Power Loss'!$B$119*'Efficiency Summary'!$B$44^2)</f>
        <v>-5.0859199999999999E-4</v>
      </c>
      <c r="L70" s="10">
        <f>2*Ron_l*0.001*'Efficiency Summary'!$B$46*'Efficiency Summary'!$B$44*(Vin-Vout)/(3*Vin)</f>
        <v>-2.380952380952382E-3</v>
      </c>
      <c r="M70" s="10">
        <f>+'Power Loss'!$B$107*0.000000001*Vin^2*2*'Efficiency Summary'!B70*Vout*(Vin-Vout)/(Lout*0.000001*'Power Loss'!$B$119*'Efficiency Summary'!$B$44^2)</f>
        <v>-5.0859199999999999E-4</v>
      </c>
      <c r="N70" s="10">
        <f>+$K$44*$K$45*0.000000001*2*B70*Vout*(Vin-Vout)/('Efficiency Summary'!$B$44^2*Lout*0.000001*Vin)</f>
        <v>-2.0272321428571429E-4</v>
      </c>
      <c r="O70" s="10">
        <f t="shared" si="14"/>
        <v>3.3194444444444444E-5</v>
      </c>
      <c r="P70" s="10">
        <f t="shared" si="11"/>
        <v>9.2189999999999998E-3</v>
      </c>
      <c r="Q70" s="28">
        <v>115.27526832687101</v>
      </c>
      <c r="R70" s="10"/>
      <c r="S70" s="10"/>
      <c r="T70" s="10"/>
    </row>
    <row r="71" spans="1:20" s="18" customFormat="1" ht="12.9" customHeight="1" x14ac:dyDescent="0.25">
      <c r="A71" s="10">
        <f t="shared" si="15"/>
        <v>7</v>
      </c>
      <c r="B71" s="10">
        <f t="shared" si="12"/>
        <v>7.9649999999999999E-2</v>
      </c>
      <c r="C71" s="28">
        <f t="shared" si="6"/>
        <v>-1.9999999999999999E-6</v>
      </c>
      <c r="D71" s="28">
        <f t="shared" si="7"/>
        <v>5.2631578947368416E-7</v>
      </c>
      <c r="E71" s="28">
        <f t="shared" si="16"/>
        <v>-678571.42857142852</v>
      </c>
      <c r="F71" s="28">
        <f t="shared" si="8"/>
        <v>8.5737868421053395E-2</v>
      </c>
      <c r="G71" s="28">
        <f>+DCR*0.001*2*'Efficiency Summary'!B71*'Efficiency Summary'!$B$44/3</f>
        <v>1.2744E-3</v>
      </c>
      <c r="H71" s="28">
        <f t="shared" si="13"/>
        <v>3.1859999999999999E-4</v>
      </c>
      <c r="I71" s="10">
        <f>2*Ron_u*0.001*'Efficiency Summary'!B71*'Efficiency Summary'!$B$44*Vout/(3*Vin)</f>
        <v>3.603214285714286E-3</v>
      </c>
      <c r="J71" s="28">
        <f>+B71*(Vout*(Vin-Vout)/('Efficiency Summary'!$B$44*Lout*0.000001))*'Power Loss'!$B$92*0.000000001</f>
        <v>-6.0534E-4</v>
      </c>
      <c r="K71" s="10">
        <f>+'Power Loss'!$B$89*0.000000001*Vin^2*2*'Efficiency Summary'!B71*Vout*(Vin-Vout)/(Lout*0.000001*'Power Loss'!$B$119*'Efficiency Summary'!$B$44^2)</f>
        <v>-6.7798079999999985E-4</v>
      </c>
      <c r="L71" s="10">
        <f>2*Ron_l*0.001*'Efficiency Summary'!$B$46*'Efficiency Summary'!$B$44*(Vin-Vout)/(3*Vin)</f>
        <v>-2.380952380952382E-3</v>
      </c>
      <c r="M71" s="10">
        <f>+'Power Loss'!$B$107*0.000000001*Vin^2*2*'Efficiency Summary'!B71*Vout*(Vin-Vout)/(Lout*0.000001*'Power Loss'!$B$119*'Efficiency Summary'!$B$44^2)</f>
        <v>-6.7798079999999985E-4</v>
      </c>
      <c r="N71" s="10">
        <f>+$K$44*$K$45*0.000000001*2*B71*Vout*(Vin-Vout)/('Efficiency Summary'!$B$44^2*Lout*0.000001*Vin)</f>
        <v>-2.7024107142857145E-4</v>
      </c>
      <c r="O71" s="10">
        <f t="shared" si="14"/>
        <v>4.4249999999999998E-5</v>
      </c>
      <c r="P71" s="10">
        <f t="shared" si="11"/>
        <v>1.08906E-2</v>
      </c>
      <c r="Q71" s="28">
        <v>113.53870720461489</v>
      </c>
      <c r="R71" s="10"/>
      <c r="S71" s="10"/>
      <c r="T71" s="10"/>
    </row>
    <row r="72" spans="1:20" s="18" customFormat="1" ht="12.9" customHeight="1" x14ac:dyDescent="0.25">
      <c r="A72" s="10">
        <f t="shared" si="15"/>
        <v>9</v>
      </c>
      <c r="B72" s="10">
        <f t="shared" si="12"/>
        <v>9.955E-2</v>
      </c>
      <c r="C72" s="28">
        <f t="shared" si="6"/>
        <v>-1.9999999999999999E-6</v>
      </c>
      <c r="D72" s="28">
        <f t="shared" si="7"/>
        <v>5.2631578947368416E-7</v>
      </c>
      <c r="E72" s="28">
        <f t="shared" si="16"/>
        <v>-678571.42857142852</v>
      </c>
      <c r="F72" s="28">
        <f t="shared" si="8"/>
        <v>0.10484186842105356</v>
      </c>
      <c r="G72" s="28">
        <f>+DCR*0.001*2*'Efficiency Summary'!B72*'Efficiency Summary'!$B$44/3</f>
        <v>1.5928000000000001E-3</v>
      </c>
      <c r="H72" s="28">
        <f t="shared" si="13"/>
        <v>3.9820000000000003E-4</v>
      </c>
      <c r="I72" s="10">
        <f>2*Ron_u*0.001*'Efficiency Summary'!B72*'Efficiency Summary'!$B$44*Vout/(3*Vin)</f>
        <v>4.5034523809523823E-3</v>
      </c>
      <c r="J72" s="28">
        <f>+B72*(Vout*(Vin-Vout)/('Efficiency Summary'!$B$44*Lout*0.000001))*'Power Loss'!$B$92*0.000000001</f>
        <v>-7.5658000000000008E-4</v>
      </c>
      <c r="K72" s="10">
        <f>+'Power Loss'!$B$89*0.000000001*Vin^2*2*'Efficiency Summary'!B72*Vout*(Vin-Vout)/(Lout*0.000001*'Power Loss'!$B$119*'Efficiency Summary'!$B$44^2)</f>
        <v>-8.4736960000000004E-4</v>
      </c>
      <c r="L72" s="10">
        <f>2*Ron_l*0.001*'Efficiency Summary'!$B$46*'Efficiency Summary'!$B$44*(Vin-Vout)/(3*Vin)</f>
        <v>-2.380952380952382E-3</v>
      </c>
      <c r="M72" s="10">
        <f>+'Power Loss'!$B$107*0.000000001*Vin^2*2*'Efficiency Summary'!B72*Vout*(Vin-Vout)/(Lout*0.000001*'Power Loss'!$B$119*'Efficiency Summary'!$B$44^2)</f>
        <v>-8.4736960000000004E-4</v>
      </c>
      <c r="N72" s="10">
        <f>+$K$44*$K$45*0.000000001*2*B72*Vout*(Vin-Vout)/('Efficiency Summary'!$B$44^2*Lout*0.000001*Vin)</f>
        <v>-3.3775892857142853E-4</v>
      </c>
      <c r="O72" s="10">
        <f t="shared" si="14"/>
        <v>5.5305555555555559E-5</v>
      </c>
      <c r="P72" s="10">
        <f t="shared" si="11"/>
        <v>1.2562199999999999E-2</v>
      </c>
      <c r="Q72" s="28">
        <v>112.5213220330303</v>
      </c>
      <c r="R72" s="10"/>
      <c r="S72" s="10"/>
      <c r="T72" s="10"/>
    </row>
    <row r="73" spans="1:20" s="18" customFormat="1" ht="12.9" customHeight="1" x14ac:dyDescent="0.25">
      <c r="A73" s="10">
        <f t="shared" si="15"/>
        <v>11</v>
      </c>
      <c r="B73" s="10">
        <f t="shared" si="12"/>
        <v>0.11945</v>
      </c>
      <c r="C73" s="28">
        <f t="shared" si="6"/>
        <v>-1.9999999999999999E-6</v>
      </c>
      <c r="D73" s="28">
        <f t="shared" si="7"/>
        <v>5.2631578947368416E-7</v>
      </c>
      <c r="E73" s="28">
        <f t="shared" si="16"/>
        <v>-678571.42857142852</v>
      </c>
      <c r="F73" s="28">
        <f t="shared" si="8"/>
        <v>0.12301952923976715</v>
      </c>
      <c r="G73" s="28">
        <f>+DCR*0.001*2*'Efficiency Summary'!B73*'Efficiency Summary'!$B$44/3</f>
        <v>1.9112000000000001E-3</v>
      </c>
      <c r="H73" s="28">
        <f t="shared" si="13"/>
        <v>4.7780000000000001E-4</v>
      </c>
      <c r="I73" s="10">
        <f>2*Ron_u*0.001*'Efficiency Summary'!B73*'Efficiency Summary'!$B$44*Vout/(3*Vin)</f>
        <v>5.4036904761904769E-3</v>
      </c>
      <c r="J73" s="28">
        <f>+B73*(Vout*(Vin-Vout)/('Efficiency Summary'!$B$44*Lout*0.000001))*'Power Loss'!$B$92*0.000000001</f>
        <v>-9.0782000000000005E-4</v>
      </c>
      <c r="K73" s="10">
        <f>+'Power Loss'!$B$89*0.000000001*Vin^2*2*'Efficiency Summary'!B73*Vout*(Vin-Vout)/(Lout*0.000001*'Power Loss'!$B$119*'Efficiency Summary'!$B$44^2)</f>
        <v>-1.0167583999999999E-3</v>
      </c>
      <c r="L73" s="10">
        <f>2*Ron_l*0.001*'Efficiency Summary'!$B$46*'Efficiency Summary'!$B$44*(Vin-Vout)/(3*Vin)</f>
        <v>-2.380952380952382E-3</v>
      </c>
      <c r="M73" s="10">
        <f>+'Power Loss'!$B$107*0.000000001*Vin^2*2*'Efficiency Summary'!B73*Vout*(Vin-Vout)/(Lout*0.000001*'Power Loss'!$B$119*'Efficiency Summary'!$B$44^2)</f>
        <v>-1.0167583999999999E-3</v>
      </c>
      <c r="N73" s="10">
        <f>+$K$44*$K$45*0.000000001*2*B73*Vout*(Vin-Vout)/('Efficiency Summary'!$B$44^2*Lout*0.000001*Vin)</f>
        <v>-4.0527678571428572E-4</v>
      </c>
      <c r="O73" s="10">
        <f t="shared" si="14"/>
        <v>6.6361111111111113E-5</v>
      </c>
      <c r="P73" s="10">
        <f t="shared" si="11"/>
        <v>1.42338E-2</v>
      </c>
      <c r="Q73" s="28">
        <v>111.85299549893199</v>
      </c>
      <c r="R73" s="10"/>
      <c r="S73" s="10"/>
      <c r="T73" s="10"/>
    </row>
    <row r="74" spans="1:20" s="18" customFormat="1" ht="12.9" customHeight="1" x14ac:dyDescent="0.25">
      <c r="A74" s="10">
        <f t="shared" si="15"/>
        <v>13</v>
      </c>
      <c r="B74" s="10">
        <f t="shared" si="12"/>
        <v>0.13935000000000003</v>
      </c>
      <c r="C74" s="28">
        <f t="shared" si="6"/>
        <v>-1.9999999999999999E-6</v>
      </c>
      <c r="D74" s="28">
        <f t="shared" si="7"/>
        <v>5.2631578947368416E-7</v>
      </c>
      <c r="E74" s="28">
        <f t="shared" si="16"/>
        <v>-678571.42857142852</v>
      </c>
      <c r="F74" s="28">
        <f t="shared" si="8"/>
        <v>0.14027085087719424</v>
      </c>
      <c r="G74" s="28">
        <f>+DCR*0.001*2*'Efficiency Summary'!B74*'Efficiency Summary'!$B$44/3</f>
        <v>2.2296000000000004E-3</v>
      </c>
      <c r="H74" s="28">
        <f t="shared" si="13"/>
        <v>5.574000000000001E-4</v>
      </c>
      <c r="I74" s="10">
        <f>2*Ron_u*0.001*'Efficiency Summary'!B74*'Efficiency Summary'!$B$44*Vout/(3*Vin)</f>
        <v>6.3039285714285732E-3</v>
      </c>
      <c r="J74" s="28">
        <f>+B74*(Vout*(Vin-Vout)/('Efficiency Summary'!$B$44*Lout*0.000001))*'Power Loss'!$B$92*0.000000001</f>
        <v>-1.0590600000000003E-3</v>
      </c>
      <c r="K74" s="10">
        <f>+'Power Loss'!$B$89*0.000000001*Vin^2*2*'Efficiency Summary'!B74*Vout*(Vin-Vout)/(Lout*0.000001*'Power Loss'!$B$119*'Efficiency Summary'!$B$44^2)</f>
        <v>-1.1861472000000003E-3</v>
      </c>
      <c r="L74" s="10">
        <f>2*Ron_l*0.001*'Efficiency Summary'!$B$46*'Efficiency Summary'!$B$44*(Vin-Vout)/(3*Vin)</f>
        <v>-2.380952380952382E-3</v>
      </c>
      <c r="M74" s="10">
        <f>+'Power Loss'!$B$107*0.000000001*Vin^2*2*'Efficiency Summary'!B74*Vout*(Vin-Vout)/(Lout*0.000001*'Power Loss'!$B$119*'Efficiency Summary'!$B$44^2)</f>
        <v>-1.1861472000000003E-3</v>
      </c>
      <c r="N74" s="10">
        <f>+$K$44*$K$45*0.000000001*2*B74*Vout*(Vin-Vout)/('Efficiency Summary'!$B$44^2*Lout*0.000001*Vin)</f>
        <v>-4.7279464285714297E-4</v>
      </c>
      <c r="O74" s="10">
        <f t="shared" si="14"/>
        <v>7.7416666666666687E-5</v>
      </c>
      <c r="P74" s="10">
        <f t="shared" si="11"/>
        <v>1.5905400000000004E-2</v>
      </c>
      <c r="Q74" s="28">
        <v>111.38039202322533</v>
      </c>
      <c r="R74" s="10"/>
      <c r="S74" s="10"/>
      <c r="T74" s="10"/>
    </row>
    <row r="75" spans="1:20" s="18" customFormat="1" ht="12.9" customHeight="1" x14ac:dyDescent="0.25">
      <c r="A75" s="10">
        <f t="shared" si="15"/>
        <v>15</v>
      </c>
      <c r="B75" s="10">
        <f t="shared" si="12"/>
        <v>0.15925</v>
      </c>
      <c r="C75" s="28">
        <f t="shared" si="6"/>
        <v>-1.9999999999999999E-6</v>
      </c>
      <c r="D75" s="28">
        <f t="shared" si="7"/>
        <v>5.2631578947368416E-7</v>
      </c>
      <c r="E75" s="28">
        <f t="shared" si="16"/>
        <v>-678571.42857142852</v>
      </c>
      <c r="F75" s="28">
        <f t="shared" si="8"/>
        <v>0.15659583333333474</v>
      </c>
      <c r="G75" s="28">
        <f>+DCR*0.001*2*'Efficiency Summary'!B75*'Efficiency Summary'!$B$44/3</f>
        <v>2.5480000000000004E-3</v>
      </c>
      <c r="H75" s="28">
        <f t="shared" si="13"/>
        <v>6.3700000000000009E-4</v>
      </c>
      <c r="I75" s="10">
        <f>2*Ron_u*0.001*'Efficiency Summary'!B75*'Efficiency Summary'!$B$44*Vout/(3*Vin)</f>
        <v>7.2041666666666686E-3</v>
      </c>
      <c r="J75" s="28">
        <f>+B75*(Vout*(Vin-Vout)/('Efficiency Summary'!$B$44*Lout*0.000001))*'Power Loss'!$B$92*0.000000001</f>
        <v>-1.2103000000000001E-3</v>
      </c>
      <c r="K75" s="10">
        <f>+'Power Loss'!$B$89*0.000000001*Vin^2*2*'Efficiency Summary'!B75*Vout*(Vin-Vout)/(Lout*0.000001*'Power Loss'!$B$119*'Efficiency Summary'!$B$44^2)</f>
        <v>-1.3555360000000001E-3</v>
      </c>
      <c r="L75" s="10">
        <f>2*Ron_l*0.001*'Efficiency Summary'!$B$46*'Efficiency Summary'!$B$44*(Vin-Vout)/(3*Vin)</f>
        <v>-2.380952380952382E-3</v>
      </c>
      <c r="M75" s="10">
        <f>+'Power Loss'!$B$107*0.000000001*Vin^2*2*'Efficiency Summary'!B75*Vout*(Vin-Vout)/(Lout*0.000001*'Power Loss'!$B$119*'Efficiency Summary'!$B$44^2)</f>
        <v>-1.3555360000000001E-3</v>
      </c>
      <c r="N75" s="10">
        <f>+$K$44*$K$45*0.000000001*2*B75*Vout*(Vin-Vout)/('Efficiency Summary'!$B$44^2*Lout*0.000001*Vin)</f>
        <v>-5.4031249999999999E-4</v>
      </c>
      <c r="O75" s="10">
        <f t="shared" si="14"/>
        <v>8.8472222222222234E-5</v>
      </c>
      <c r="P75" s="10">
        <f t="shared" si="11"/>
        <v>1.7577000000000002E-2</v>
      </c>
      <c r="Q75" s="28">
        <v>111.02851530130563</v>
      </c>
      <c r="R75" s="10"/>
      <c r="S75" s="10"/>
      <c r="T75" s="10"/>
    </row>
    <row r="76" spans="1:20" s="18" customFormat="1" ht="12.9" customHeight="1" x14ac:dyDescent="0.25">
      <c r="A76" s="10">
        <f t="shared" si="15"/>
        <v>17</v>
      </c>
      <c r="B76" s="10">
        <f t="shared" si="12"/>
        <v>0.17915000000000003</v>
      </c>
      <c r="C76" s="28">
        <f t="shared" si="6"/>
        <v>-1.9999999999999999E-6</v>
      </c>
      <c r="D76" s="28">
        <f t="shared" si="7"/>
        <v>5.2631578947368416E-7</v>
      </c>
      <c r="E76" s="28">
        <f t="shared" si="16"/>
        <v>-678571.42857142852</v>
      </c>
      <c r="F76" s="28">
        <f t="shared" si="8"/>
        <v>0.17199447660818867</v>
      </c>
      <c r="G76" s="28">
        <f>+DCR*0.001*2*'Efficiency Summary'!B76*'Efficiency Summary'!$B$44/3</f>
        <v>2.8664000000000003E-3</v>
      </c>
      <c r="H76" s="28">
        <f t="shared" si="13"/>
        <v>7.1660000000000007E-4</v>
      </c>
      <c r="I76" s="10">
        <f>2*Ron_u*0.001*'Efficiency Summary'!B76*'Efficiency Summary'!$B$44*Vout/(3*Vin)</f>
        <v>8.1044047619047641E-3</v>
      </c>
      <c r="J76" s="28">
        <f>+B76*(Vout*(Vin-Vout)/('Efficiency Summary'!$B$44*Lout*0.000001))*'Power Loss'!$B$92*0.000000001</f>
        <v>-1.3615400000000003E-3</v>
      </c>
      <c r="K76" s="10">
        <f>+'Power Loss'!$B$89*0.000000001*Vin^2*2*'Efficiency Summary'!B76*Vout*(Vin-Vout)/(Lout*0.000001*'Power Loss'!$B$119*'Efficiency Summary'!$B$44^2)</f>
        <v>-1.5249248000000003E-3</v>
      </c>
      <c r="L76" s="10">
        <f>2*Ron_l*0.001*'Efficiency Summary'!$B$46*'Efficiency Summary'!$B$44*(Vin-Vout)/(3*Vin)</f>
        <v>-2.380952380952382E-3</v>
      </c>
      <c r="M76" s="10">
        <f>+'Power Loss'!$B$107*0.000000001*Vin^2*2*'Efficiency Summary'!B76*Vout*(Vin-Vout)/(Lout*0.000001*'Power Loss'!$B$119*'Efficiency Summary'!$B$44^2)</f>
        <v>-1.5249248000000003E-3</v>
      </c>
      <c r="N76" s="10">
        <f>+$K$44*$K$45*0.000000001*2*B76*Vout*(Vin-Vout)/('Efficiency Summary'!$B$44^2*Lout*0.000001*Vin)</f>
        <v>-6.0783035714285724E-4</v>
      </c>
      <c r="O76" s="10">
        <f t="shared" si="14"/>
        <v>9.9527777777777795E-5</v>
      </c>
      <c r="P76" s="10">
        <f t="shared" si="11"/>
        <v>1.9248600000000001E-2</v>
      </c>
      <c r="Q76" s="28">
        <v>110.7563451017772</v>
      </c>
      <c r="R76" s="10"/>
      <c r="S76" s="10"/>
      <c r="T76" s="10"/>
    </row>
    <row r="77" spans="1:20" s="18" customFormat="1" ht="12.9" customHeight="1" x14ac:dyDescent="0.25">
      <c r="A77" s="10">
        <f t="shared" si="15"/>
        <v>19</v>
      </c>
      <c r="B77" s="10">
        <f t="shared" si="12"/>
        <v>0.19905</v>
      </c>
      <c r="C77" s="28">
        <f t="shared" si="6"/>
        <v>-1.9999999999999999E-6</v>
      </c>
      <c r="D77" s="28">
        <f t="shared" si="7"/>
        <v>5.2631578947368416E-7</v>
      </c>
      <c r="E77" s="28">
        <f t="shared" si="16"/>
        <v>-678571.42857142852</v>
      </c>
      <c r="F77" s="28">
        <f t="shared" si="8"/>
        <v>0.18646678070175604</v>
      </c>
      <c r="G77" s="28">
        <f>+DCR*0.001*2*'Efficiency Summary'!B77*'Efficiency Summary'!$B$44/3</f>
        <v>3.1848000000000002E-3</v>
      </c>
      <c r="H77" s="28">
        <f t="shared" si="13"/>
        <v>7.9620000000000005E-4</v>
      </c>
      <c r="I77" s="10">
        <f>2*Ron_u*0.001*'Efficiency Summary'!B77*'Efficiency Summary'!$B$44*Vout/(3*Vin)</f>
        <v>9.0046428571428604E-3</v>
      </c>
      <c r="J77" s="28">
        <f>+B77*(Vout*(Vin-Vout)/('Efficiency Summary'!$B$44*Lout*0.000001))*'Power Loss'!$B$92*0.000000001</f>
        <v>-1.51278E-3</v>
      </c>
      <c r="K77" s="10">
        <f>+'Power Loss'!$B$89*0.000000001*Vin^2*2*'Efficiency Summary'!B77*Vout*(Vin-Vout)/(Lout*0.000001*'Power Loss'!$B$119*'Efficiency Summary'!$B$44^2)</f>
        <v>-1.6943136E-3</v>
      </c>
      <c r="L77" s="10">
        <f>2*Ron_l*0.001*'Efficiency Summary'!$B$46*'Efficiency Summary'!$B$44*(Vin-Vout)/(3*Vin)</f>
        <v>-2.380952380952382E-3</v>
      </c>
      <c r="M77" s="10">
        <f>+'Power Loss'!$B$107*0.000000001*Vin^2*2*'Efficiency Summary'!B77*Vout*(Vin-Vout)/(Lout*0.000001*'Power Loss'!$B$119*'Efficiency Summary'!$B$44^2)</f>
        <v>-1.6943136E-3</v>
      </c>
      <c r="N77" s="10">
        <f>+$K$44*$K$45*0.000000001*2*B77*Vout*(Vin-Vout)/('Efficiency Summary'!$B$44^2*Lout*0.000001*Vin)</f>
        <v>-6.7534821428571438E-4</v>
      </c>
      <c r="O77" s="10">
        <f t="shared" si="14"/>
        <v>1.1058333333333334E-4</v>
      </c>
      <c r="P77" s="10">
        <f t="shared" si="11"/>
        <v>2.09202E-2</v>
      </c>
      <c r="Q77" s="28">
        <v>110.53955422228555</v>
      </c>
      <c r="R77" s="10"/>
      <c r="S77" s="10"/>
      <c r="T77" s="10"/>
    </row>
    <row r="78" spans="1:20" s="18" customFormat="1" ht="12.9" customHeight="1" x14ac:dyDescent="0.25">
      <c r="A78" s="10">
        <f t="shared" si="15"/>
        <v>21</v>
      </c>
      <c r="B78" s="10">
        <f t="shared" si="12"/>
        <v>0.21895000000000003</v>
      </c>
      <c r="C78" s="28">
        <f t="shared" si="6"/>
        <v>-1.9999999999999999E-6</v>
      </c>
      <c r="D78" s="28">
        <f t="shared" si="7"/>
        <v>5.2631578947368416E-7</v>
      </c>
      <c r="E78" s="28">
        <f t="shared" si="16"/>
        <v>-678571.42857142852</v>
      </c>
      <c r="F78" s="28">
        <f t="shared" si="8"/>
        <v>0.2000127456140369</v>
      </c>
      <c r="G78" s="28">
        <f>+DCR*0.001*2*'Efficiency Summary'!B78*'Efficiency Summary'!$B$44/3</f>
        <v>3.503200000000001E-3</v>
      </c>
      <c r="H78" s="28">
        <f t="shared" si="13"/>
        <v>8.7580000000000025E-4</v>
      </c>
      <c r="I78" s="10">
        <f>2*Ron_u*0.001*'Efficiency Summary'!B78*'Efficiency Summary'!$B$44*Vout/(3*Vin)</f>
        <v>9.9048809523809549E-3</v>
      </c>
      <c r="J78" s="28">
        <f>+B78*(Vout*(Vin-Vout)/('Efficiency Summary'!$B$44*Lout*0.000001))*'Power Loss'!$B$92*0.000000001</f>
        <v>-1.6640200000000004E-3</v>
      </c>
      <c r="K78" s="10">
        <f>+'Power Loss'!$B$89*0.000000001*Vin^2*2*'Efficiency Summary'!B78*Vout*(Vin-Vout)/(Lout*0.000001*'Power Loss'!$B$119*'Efficiency Summary'!$B$44^2)</f>
        <v>-1.8637024000000004E-3</v>
      </c>
      <c r="L78" s="10">
        <f>2*Ron_l*0.001*'Efficiency Summary'!$B$46*'Efficiency Summary'!$B$44*(Vin-Vout)/(3*Vin)</f>
        <v>-2.380952380952382E-3</v>
      </c>
      <c r="M78" s="10">
        <f>+'Power Loss'!$B$107*0.000000001*Vin^2*2*'Efficiency Summary'!B78*Vout*(Vin-Vout)/(Lout*0.000001*'Power Loss'!$B$119*'Efficiency Summary'!$B$44^2)</f>
        <v>-1.8637024000000004E-3</v>
      </c>
      <c r="N78" s="10">
        <f>+$K$44*$K$45*0.000000001*2*B78*Vout*(Vin-Vout)/('Efficiency Summary'!$B$44^2*Lout*0.000001*Vin)</f>
        <v>-7.4286607142857162E-4</v>
      </c>
      <c r="O78" s="10">
        <f t="shared" si="14"/>
        <v>1.2163888888888892E-4</v>
      </c>
      <c r="P78" s="10">
        <f t="shared" si="11"/>
        <v>2.2591800000000002E-2</v>
      </c>
      <c r="Q78" s="28">
        <v>110.36280115083717</v>
      </c>
      <c r="R78" s="10"/>
      <c r="S78" s="10"/>
      <c r="T78" s="10"/>
    </row>
    <row r="79" spans="1:20" s="18" customFormat="1" ht="12.9" customHeight="1" x14ac:dyDescent="0.25">
      <c r="A79" s="10">
        <f t="shared" si="15"/>
        <v>23</v>
      </c>
      <c r="B79" s="10">
        <f t="shared" si="12"/>
        <v>0.23885000000000001</v>
      </c>
      <c r="C79" s="28">
        <f t="shared" si="6"/>
        <v>-1.9999999999999999E-6</v>
      </c>
      <c r="D79" s="28">
        <f t="shared" si="7"/>
        <v>5.2631578947368416E-7</v>
      </c>
      <c r="E79" s="28">
        <f t="shared" si="16"/>
        <v>-678571.42857142852</v>
      </c>
      <c r="F79" s="28">
        <f t="shared" si="8"/>
        <v>0.21263237134503113</v>
      </c>
      <c r="G79" s="28">
        <f>+DCR*0.001*2*'Efficiency Summary'!B79*'Efficiency Summary'!$B$44/3</f>
        <v>3.8216000000000001E-3</v>
      </c>
      <c r="H79" s="28">
        <f t="shared" si="13"/>
        <v>9.5540000000000002E-4</v>
      </c>
      <c r="I79" s="10">
        <f>2*Ron_u*0.001*'Efficiency Summary'!B79*'Efficiency Summary'!$B$44*Vout/(3*Vin)</f>
        <v>1.0805119047619051E-2</v>
      </c>
      <c r="J79" s="28">
        <f>+B79*(Vout*(Vin-Vout)/('Efficiency Summary'!$B$44*Lout*0.000001))*'Power Loss'!$B$92*0.000000001</f>
        <v>-1.8152600000000002E-3</v>
      </c>
      <c r="K79" s="10">
        <f>+'Power Loss'!$B$89*0.000000001*Vin^2*2*'Efficiency Summary'!B79*Vout*(Vin-Vout)/(Lout*0.000001*'Power Loss'!$B$119*'Efficiency Summary'!$B$44^2)</f>
        <v>-2.0330912E-3</v>
      </c>
      <c r="L79" s="10">
        <f>2*Ron_l*0.001*'Efficiency Summary'!$B$46*'Efficiency Summary'!$B$44*(Vin-Vout)/(3*Vin)</f>
        <v>-2.380952380952382E-3</v>
      </c>
      <c r="M79" s="10">
        <f>+'Power Loss'!$B$107*0.000000001*Vin^2*2*'Efficiency Summary'!B79*Vout*(Vin-Vout)/(Lout*0.000001*'Power Loss'!$B$119*'Efficiency Summary'!$B$44^2)</f>
        <v>-2.0330912E-3</v>
      </c>
      <c r="N79" s="10">
        <f>+$K$44*$K$45*0.000000001*2*B79*Vout*(Vin-Vout)/('Efficiency Summary'!$B$44^2*Lout*0.000001*Vin)</f>
        <v>-8.1038392857142865E-4</v>
      </c>
      <c r="O79" s="10">
        <f t="shared" si="14"/>
        <v>1.3269444444444445E-4</v>
      </c>
      <c r="P79" s="10">
        <f t="shared" si="11"/>
        <v>2.4263399999999997E-2</v>
      </c>
      <c r="Q79" s="28">
        <v>110.21593200327368</v>
      </c>
      <c r="R79" s="10"/>
      <c r="S79" s="10"/>
      <c r="T79" s="10"/>
    </row>
    <row r="80" spans="1:20" s="18" customFormat="1" ht="12.9" customHeight="1" x14ac:dyDescent="0.25">
      <c r="A80" s="10">
        <f t="shared" si="15"/>
        <v>25</v>
      </c>
      <c r="B80" s="10">
        <f t="shared" si="12"/>
        <v>0.25875000000000004</v>
      </c>
      <c r="C80" s="28">
        <f t="shared" si="6"/>
        <v>-1.9999999999999999E-6</v>
      </c>
      <c r="D80" s="28">
        <f t="shared" si="7"/>
        <v>5.2631578947368416E-7</v>
      </c>
      <c r="E80" s="28">
        <f t="shared" si="16"/>
        <v>-678571.42857142852</v>
      </c>
      <c r="F80" s="28">
        <f t="shared" si="8"/>
        <v>0.22432565789473885</v>
      </c>
      <c r="G80" s="28">
        <f>+DCR*0.001*2*'Efficiency Summary'!B80*'Efficiency Summary'!$B$44/3</f>
        <v>4.1400000000000005E-3</v>
      </c>
      <c r="H80" s="28">
        <f t="shared" si="13"/>
        <v>1.0350000000000001E-3</v>
      </c>
      <c r="I80" s="10">
        <f>2*Ron_u*0.001*'Efficiency Summary'!B80*'Efficiency Summary'!$B$44*Vout/(3*Vin)</f>
        <v>1.1705357142857148E-2</v>
      </c>
      <c r="J80" s="28">
        <f>+B80*(Vout*(Vin-Vout)/('Efficiency Summary'!$B$44*Lout*0.000001))*'Power Loss'!$B$92*0.000000001</f>
        <v>-1.9665000000000004E-3</v>
      </c>
      <c r="K80" s="10">
        <f>+'Power Loss'!$B$89*0.000000001*Vin^2*2*'Efficiency Summary'!B80*Vout*(Vin-Vout)/(Lout*0.000001*'Power Loss'!$B$119*'Efficiency Summary'!$B$44^2)</f>
        <v>-2.2024800000000001E-3</v>
      </c>
      <c r="L80" s="10">
        <f>2*Ron_l*0.001*'Efficiency Summary'!$B$46*'Efficiency Summary'!$B$44*(Vin-Vout)/(3*Vin)</f>
        <v>-2.380952380952382E-3</v>
      </c>
      <c r="M80" s="10">
        <f>+'Power Loss'!$B$107*0.000000001*Vin^2*2*'Efficiency Summary'!B80*Vout*(Vin-Vout)/(Lout*0.000001*'Power Loss'!$B$119*'Efficiency Summary'!$B$44^2)</f>
        <v>-2.2024800000000001E-3</v>
      </c>
      <c r="N80" s="10">
        <f>+$K$44*$K$45*0.000000001*2*B80*Vout*(Vin-Vout)/('Efficiency Summary'!$B$44^2*Lout*0.000001*Vin)</f>
        <v>-8.7790178571428578E-4</v>
      </c>
      <c r="O80" s="10">
        <f t="shared" si="14"/>
        <v>1.4375000000000002E-4</v>
      </c>
      <c r="P80" s="10">
        <f t="shared" si="11"/>
        <v>2.5935000000000003E-2</v>
      </c>
      <c r="Q80" s="28">
        <v>110.09195873542703</v>
      </c>
      <c r="R80" s="10"/>
      <c r="S80" s="10"/>
      <c r="T80" s="10"/>
    </row>
    <row r="81" spans="1:20" s="18" customFormat="1" ht="12.9" customHeight="1" x14ac:dyDescent="0.25">
      <c r="A81" s="10">
        <f t="shared" si="15"/>
        <v>27</v>
      </c>
      <c r="B81" s="10">
        <f t="shared" si="12"/>
        <v>0.27865000000000001</v>
      </c>
      <c r="C81" s="28">
        <f t="shared" si="6"/>
        <v>-1.9999999999999999E-6</v>
      </c>
      <c r="D81" s="28">
        <f t="shared" si="7"/>
        <v>5.2631578947368416E-7</v>
      </c>
      <c r="E81" s="28">
        <f t="shared" si="16"/>
        <v>-678571.42857142852</v>
      </c>
      <c r="F81" s="28">
        <f t="shared" si="8"/>
        <v>0.23509260526315998</v>
      </c>
      <c r="G81" s="28">
        <f>+DCR*0.001*2*'Efficiency Summary'!B81*'Efficiency Summary'!$B$44/3</f>
        <v>4.4584000000000004E-3</v>
      </c>
      <c r="H81" s="28">
        <f t="shared" si="13"/>
        <v>1.1146000000000001E-3</v>
      </c>
      <c r="I81" s="10">
        <f>2*Ron_u*0.001*'Efficiency Summary'!B81*'Efficiency Summary'!$B$44*Vout/(3*Vin)</f>
        <v>1.260559523809524E-2</v>
      </c>
      <c r="J81" s="28">
        <f>+B81*(Vout*(Vin-Vout)/('Efficiency Summary'!$B$44*Lout*0.000001))*'Power Loss'!$B$92*0.000000001</f>
        <v>-2.1177400000000003E-3</v>
      </c>
      <c r="K81" s="10">
        <f>+'Power Loss'!$B$89*0.000000001*Vin^2*2*'Efficiency Summary'!B81*Vout*(Vin-Vout)/(Lout*0.000001*'Power Loss'!$B$119*'Efficiency Summary'!$B$44^2)</f>
        <v>-2.3718687999999999E-3</v>
      </c>
      <c r="L81" s="10">
        <f>2*Ron_l*0.001*'Efficiency Summary'!$B$46*'Efficiency Summary'!$B$44*(Vin-Vout)/(3*Vin)</f>
        <v>-2.380952380952382E-3</v>
      </c>
      <c r="M81" s="10">
        <f>+'Power Loss'!$B$107*0.000000001*Vin^2*2*'Efficiency Summary'!B81*Vout*(Vin-Vout)/(Lout*0.000001*'Power Loss'!$B$119*'Efficiency Summary'!$B$44^2)</f>
        <v>-2.3718687999999999E-3</v>
      </c>
      <c r="N81" s="10">
        <f>+$K$44*$K$45*0.000000001*2*B81*Vout*(Vin-Vout)/('Efficiency Summary'!$B$44^2*Lout*0.000001*Vin)</f>
        <v>-9.4541964285714292E-4</v>
      </c>
      <c r="O81" s="10">
        <f t="shared" si="14"/>
        <v>1.5480555555555557E-4</v>
      </c>
      <c r="P81" s="10">
        <f t="shared" si="11"/>
        <v>2.7606599999999999E-2</v>
      </c>
      <c r="Q81" s="28">
        <v>109.98591453054472</v>
      </c>
      <c r="R81" s="10"/>
      <c r="S81" s="10"/>
      <c r="T81" s="10"/>
    </row>
    <row r="82" spans="1:20" s="18" customFormat="1" ht="12.9" customHeight="1" x14ac:dyDescent="0.25">
      <c r="A82" s="10">
        <f t="shared" si="15"/>
        <v>29</v>
      </c>
      <c r="B82" s="10">
        <f t="shared" si="12"/>
        <v>0.29855000000000004</v>
      </c>
      <c r="C82" s="28">
        <f t="shared" si="6"/>
        <v>-1.9999999999999999E-6</v>
      </c>
      <c r="D82" s="28">
        <f t="shared" si="7"/>
        <v>5.2631578947368416E-7</v>
      </c>
      <c r="E82" s="28">
        <f t="shared" si="16"/>
        <v>-678571.42857142852</v>
      </c>
      <c r="F82" s="28">
        <f t="shared" si="8"/>
        <v>0.24493321345029456</v>
      </c>
      <c r="G82" s="28">
        <f>+DCR*0.001*2*'Efficiency Summary'!B82*'Efficiency Summary'!$B$44/3</f>
        <v>4.7768000000000003E-3</v>
      </c>
      <c r="H82" s="28">
        <f t="shared" si="13"/>
        <v>1.1942000000000001E-3</v>
      </c>
      <c r="I82" s="10">
        <f>2*Ron_u*0.001*'Efficiency Summary'!B82*'Efficiency Summary'!$B$44*Vout/(3*Vin)</f>
        <v>1.3505833333333338E-2</v>
      </c>
      <c r="J82" s="28">
        <f>+B82*(Vout*(Vin-Vout)/('Efficiency Summary'!$B$44*Lout*0.000001))*'Power Loss'!$B$92*0.000000001</f>
        <v>-2.2689800000000007E-3</v>
      </c>
      <c r="K82" s="10">
        <f>+'Power Loss'!$B$89*0.000000001*Vin^2*2*'Efficiency Summary'!B82*Vout*(Vin-Vout)/(Lout*0.000001*'Power Loss'!$B$119*'Efficiency Summary'!$B$44^2)</f>
        <v>-2.5412576000000001E-3</v>
      </c>
      <c r="L82" s="10">
        <f>2*Ron_l*0.001*'Efficiency Summary'!$B$46*'Efficiency Summary'!$B$44*(Vin-Vout)/(3*Vin)</f>
        <v>-2.380952380952382E-3</v>
      </c>
      <c r="M82" s="10">
        <f>+'Power Loss'!$B$107*0.000000001*Vin^2*2*'Efficiency Summary'!B82*Vout*(Vin-Vout)/(Lout*0.000001*'Power Loss'!$B$119*'Efficiency Summary'!$B$44^2)</f>
        <v>-2.5412576000000001E-3</v>
      </c>
      <c r="N82" s="10">
        <f>+$K$44*$K$45*0.000000001*2*B82*Vout*(Vin-Vout)/('Efficiency Summary'!$B$44^2*Lout*0.000001*Vin)</f>
        <v>-1.0129375000000002E-3</v>
      </c>
      <c r="O82" s="10">
        <f t="shared" si="14"/>
        <v>1.6586111111111112E-4</v>
      </c>
      <c r="P82" s="10">
        <f t="shared" si="11"/>
        <v>2.9278200000000004E-2</v>
      </c>
      <c r="Q82" s="28">
        <v>109.89417230174396</v>
      </c>
      <c r="R82" s="10"/>
      <c r="S82" s="10"/>
      <c r="T82" s="10"/>
    </row>
    <row r="83" spans="1:20" s="18" customFormat="1" ht="12.9" customHeight="1" x14ac:dyDescent="0.25">
      <c r="A83" s="10">
        <f t="shared" si="15"/>
        <v>31</v>
      </c>
      <c r="B83" s="10">
        <f t="shared" si="12"/>
        <v>0.31845000000000001</v>
      </c>
      <c r="C83" s="28">
        <f t="shared" si="6"/>
        <v>-1.9999999999999999E-6</v>
      </c>
      <c r="D83" s="28">
        <f t="shared" si="7"/>
        <v>5.2631578947368416E-7</v>
      </c>
      <c r="E83" s="28">
        <f t="shared" si="16"/>
        <v>-678571.42857142852</v>
      </c>
      <c r="F83" s="28">
        <f t="shared" si="8"/>
        <v>0.25384748245614264</v>
      </c>
      <c r="G83" s="28">
        <f>+DCR*0.001*2*'Efficiency Summary'!B83*'Efficiency Summary'!$B$44/3</f>
        <v>5.0952000000000002E-3</v>
      </c>
      <c r="H83" s="28">
        <f t="shared" si="13"/>
        <v>1.2738000000000001E-3</v>
      </c>
      <c r="I83" s="10">
        <f>2*Ron_u*0.001*'Efficiency Summary'!B83*'Efficiency Summary'!$B$44*Vout/(3*Vin)</f>
        <v>1.4406071428571431E-2</v>
      </c>
      <c r="J83" s="28">
        <f>+B83*(Vout*(Vin-Vout)/('Efficiency Summary'!$B$44*Lout*0.000001))*'Power Loss'!$B$92*0.000000001</f>
        <v>-2.4202200000000003E-3</v>
      </c>
      <c r="K83" s="10">
        <f>+'Power Loss'!$B$89*0.000000001*Vin^2*2*'Efficiency Summary'!B83*Vout*(Vin-Vout)/(Lout*0.000001*'Power Loss'!$B$119*'Efficiency Summary'!$B$44^2)</f>
        <v>-2.7106464000000003E-3</v>
      </c>
      <c r="L83" s="10">
        <f>2*Ron_l*0.001*'Efficiency Summary'!$B$46*'Efficiency Summary'!$B$44*(Vin-Vout)/(3*Vin)</f>
        <v>-2.380952380952382E-3</v>
      </c>
      <c r="M83" s="10">
        <f>+'Power Loss'!$B$107*0.000000001*Vin^2*2*'Efficiency Summary'!B83*Vout*(Vin-Vout)/(Lout*0.000001*'Power Loss'!$B$119*'Efficiency Summary'!$B$44^2)</f>
        <v>-2.7106464000000003E-3</v>
      </c>
      <c r="N83" s="10">
        <f>+$K$44*$K$45*0.000000001*2*B83*Vout*(Vin-Vout)/('Efficiency Summary'!$B$44^2*Lout*0.000001*Vin)</f>
        <v>-1.0804553571428573E-3</v>
      </c>
      <c r="O83" s="10">
        <f t="shared" si="14"/>
        <v>1.7691666666666669E-4</v>
      </c>
      <c r="P83" s="10">
        <f t="shared" si="11"/>
        <v>3.0949799999999996E-2</v>
      </c>
      <c r="Q83" s="28">
        <v>109.81402151183825</v>
      </c>
      <c r="R83" s="10"/>
      <c r="S83" s="10"/>
      <c r="T83" s="10"/>
    </row>
    <row r="84" spans="1:20" s="18" customFormat="1" ht="12.9" customHeight="1" x14ac:dyDescent="0.25">
      <c r="A84" s="10">
        <f t="shared" si="15"/>
        <v>33</v>
      </c>
      <c r="B84" s="10">
        <f t="shared" si="12"/>
        <v>0.33835000000000004</v>
      </c>
      <c r="C84" s="28">
        <f t="shared" si="6"/>
        <v>-1.9999999999999999E-6</v>
      </c>
      <c r="D84" s="28">
        <f t="shared" si="7"/>
        <v>5.2631578947368416E-7</v>
      </c>
      <c r="E84" s="28">
        <f t="shared" si="16"/>
        <v>-678571.42857142852</v>
      </c>
      <c r="F84" s="28">
        <f t="shared" si="8"/>
        <v>0.26183541228070412</v>
      </c>
      <c r="G84" s="28">
        <f>+DCR*0.001*2*'Efficiency Summary'!B84*'Efficiency Summary'!$B$44/3</f>
        <v>5.4136000000000011E-3</v>
      </c>
      <c r="H84" s="28">
        <f t="shared" si="13"/>
        <v>1.3534000000000003E-3</v>
      </c>
      <c r="I84" s="10">
        <f>2*Ron_u*0.001*'Efficiency Summary'!B84*'Efficiency Summary'!$B$44*Vout/(3*Vin)</f>
        <v>1.5306309523809529E-2</v>
      </c>
      <c r="J84" s="28">
        <f>+B84*(Vout*(Vin-Vout)/('Efficiency Summary'!$B$44*Lout*0.000001))*'Power Loss'!$B$92*0.000000001</f>
        <v>-2.5714600000000007E-3</v>
      </c>
      <c r="K84" s="10">
        <f>+'Power Loss'!$B$89*0.000000001*Vin^2*2*'Efficiency Summary'!B84*Vout*(Vin-Vout)/(Lout*0.000001*'Power Loss'!$B$119*'Efficiency Summary'!$B$44^2)</f>
        <v>-2.8800352000000005E-3</v>
      </c>
      <c r="L84" s="10">
        <f>2*Ron_l*0.001*'Efficiency Summary'!$B$46*'Efficiency Summary'!$B$44*(Vin-Vout)/(3*Vin)</f>
        <v>-2.380952380952382E-3</v>
      </c>
      <c r="M84" s="10">
        <f>+'Power Loss'!$B$107*0.000000001*Vin^2*2*'Efficiency Summary'!B84*Vout*(Vin-Vout)/(Lout*0.000001*'Power Loss'!$B$119*'Efficiency Summary'!$B$44^2)</f>
        <v>-2.8800352000000005E-3</v>
      </c>
      <c r="N84" s="10">
        <f>+$K$44*$K$45*0.000000001*2*B84*Vout*(Vin-Vout)/('Efficiency Summary'!$B$44^2*Lout*0.000001*Vin)</f>
        <v>-1.1479732142857144E-3</v>
      </c>
      <c r="O84" s="10">
        <f t="shared" si="14"/>
        <v>1.8797222222222227E-4</v>
      </c>
      <c r="P84" s="10">
        <f t="shared" si="11"/>
        <v>3.2621400000000009E-2</v>
      </c>
      <c r="Q84" s="28">
        <v>109.74339586573825</v>
      </c>
      <c r="R84" s="10"/>
      <c r="S84" s="10"/>
      <c r="T84" s="10"/>
    </row>
    <row r="85" spans="1:20" s="18" customFormat="1" ht="12.9" customHeight="1" x14ac:dyDescent="0.25">
      <c r="A85" s="10">
        <f t="shared" si="15"/>
        <v>35</v>
      </c>
      <c r="B85" s="10">
        <f t="shared" si="12"/>
        <v>0.35825000000000001</v>
      </c>
      <c r="C85" s="28">
        <f t="shared" si="6"/>
        <v>-1.9999999999999999E-6</v>
      </c>
      <c r="D85" s="28">
        <f t="shared" si="7"/>
        <v>5.2631578947368416E-7</v>
      </c>
      <c r="E85" s="28">
        <f t="shared" si="16"/>
        <v>-678571.42857142852</v>
      </c>
      <c r="F85" s="28">
        <f t="shared" si="8"/>
        <v>0.268897002923979</v>
      </c>
      <c r="G85" s="28">
        <f>+DCR*0.001*2*'Efficiency Summary'!B85*'Efficiency Summary'!$B$44/3</f>
        <v>5.7320000000000001E-3</v>
      </c>
      <c r="H85" s="28">
        <f t="shared" si="13"/>
        <v>1.433E-3</v>
      </c>
      <c r="I85" s="10">
        <f>2*Ron_u*0.001*'Efficiency Summary'!B85*'Efficiency Summary'!$B$44*Vout/(3*Vin)</f>
        <v>1.6206547619047624E-2</v>
      </c>
      <c r="J85" s="28">
        <f>+B85*(Vout*(Vin-Vout)/('Efficiency Summary'!$B$44*Lout*0.000001))*'Power Loss'!$B$92*0.000000001</f>
        <v>-2.7227000000000002E-3</v>
      </c>
      <c r="K85" s="10">
        <f>+'Power Loss'!$B$89*0.000000001*Vin^2*2*'Efficiency Summary'!B85*Vout*(Vin-Vout)/(Lout*0.000001*'Power Loss'!$B$119*'Efficiency Summary'!$B$44^2)</f>
        <v>-3.0494239999999998E-3</v>
      </c>
      <c r="L85" s="10">
        <f>2*Ron_l*0.001*'Efficiency Summary'!$B$46*'Efficiency Summary'!$B$44*(Vin-Vout)/(3*Vin)</f>
        <v>-2.380952380952382E-3</v>
      </c>
      <c r="M85" s="10">
        <f>+'Power Loss'!$B$107*0.000000001*Vin^2*2*'Efficiency Summary'!B85*Vout*(Vin-Vout)/(Lout*0.000001*'Power Loss'!$B$119*'Efficiency Summary'!$B$44^2)</f>
        <v>-3.0494239999999998E-3</v>
      </c>
      <c r="N85" s="10">
        <f>+$K$44*$K$45*0.000000001*2*B85*Vout*(Vin-Vout)/('Efficiency Summary'!$B$44^2*Lout*0.000001*Vin)</f>
        <v>-1.2154910714285716E-3</v>
      </c>
      <c r="O85" s="10">
        <f t="shared" si="14"/>
        <v>1.9902777777777779E-4</v>
      </c>
      <c r="P85" s="10">
        <f t="shared" si="11"/>
        <v>3.4292999999999997E-2</v>
      </c>
      <c r="Q85" s="28">
        <v>109.68069264104693</v>
      </c>
      <c r="R85" s="10"/>
      <c r="S85" s="10"/>
      <c r="T85" s="10"/>
    </row>
    <row r="86" spans="1:20" s="18" customFormat="1" ht="12.9" customHeight="1" x14ac:dyDescent="0.25">
      <c r="A86" s="10">
        <f t="shared" si="15"/>
        <v>37</v>
      </c>
      <c r="B86" s="10">
        <f t="shared" si="12"/>
        <v>0.37815000000000004</v>
      </c>
      <c r="C86" s="28">
        <f t="shared" si="6"/>
        <v>-1.9999999999999999E-6</v>
      </c>
      <c r="D86" s="28">
        <f t="shared" si="7"/>
        <v>5.2631578947368416E-7</v>
      </c>
      <c r="E86" s="28">
        <f t="shared" si="16"/>
        <v>-678571.42857142852</v>
      </c>
      <c r="F86" s="28">
        <f t="shared" si="8"/>
        <v>0.2750322543859674</v>
      </c>
      <c r="G86" s="28">
        <f>+DCR*0.001*2*'Efficiency Summary'!B86*'Efficiency Summary'!$B$44/3</f>
        <v>6.0504000000000009E-3</v>
      </c>
      <c r="H86" s="28">
        <f t="shared" si="13"/>
        <v>1.5126000000000002E-3</v>
      </c>
      <c r="I86" s="10">
        <f>2*Ron_u*0.001*'Efficiency Summary'!B86*'Efficiency Summary'!$B$44*Vout/(3*Vin)</f>
        <v>1.710678571428572E-2</v>
      </c>
      <c r="J86" s="28">
        <f>+B86*(Vout*(Vin-Vout)/('Efficiency Summary'!$B$44*Lout*0.000001))*'Power Loss'!$B$92*0.000000001</f>
        <v>-2.8739400000000006E-3</v>
      </c>
      <c r="K86" s="10">
        <f>+'Power Loss'!$B$89*0.000000001*Vin^2*2*'Efficiency Summary'!B86*Vout*(Vin-Vout)/(Lout*0.000001*'Power Loss'!$B$119*'Efficiency Summary'!$B$44^2)</f>
        <v>-3.2188128000000004E-3</v>
      </c>
      <c r="L86" s="10">
        <f>2*Ron_l*0.001*'Efficiency Summary'!$B$46*'Efficiency Summary'!$B$44*(Vin-Vout)/(3*Vin)</f>
        <v>-2.380952380952382E-3</v>
      </c>
      <c r="M86" s="10">
        <f>+'Power Loss'!$B$107*0.000000001*Vin^2*2*'Efficiency Summary'!B86*Vout*(Vin-Vout)/(Lout*0.000001*'Power Loss'!$B$119*'Efficiency Summary'!$B$44^2)</f>
        <v>-3.2188128000000004E-3</v>
      </c>
      <c r="N86" s="10">
        <f>+$K$44*$K$45*0.000000001*2*B86*Vout*(Vin-Vout)/('Efficiency Summary'!$B$44^2*Lout*0.000001*Vin)</f>
        <v>-1.2830089285714287E-3</v>
      </c>
      <c r="O86" s="10">
        <f t="shared" si="14"/>
        <v>2.1008333333333336E-4</v>
      </c>
      <c r="P86" s="10">
        <f t="shared" si="11"/>
        <v>3.5964599999999999E-2</v>
      </c>
      <c r="Q86" s="28">
        <v>109.62464958935354</v>
      </c>
      <c r="R86" s="10"/>
      <c r="S86" s="10"/>
      <c r="T86" s="10"/>
    </row>
    <row r="87" spans="1:20" s="18" customFormat="1" ht="12.9" customHeight="1" x14ac:dyDescent="0.25">
      <c r="A87" s="10">
        <f t="shared" si="15"/>
        <v>39</v>
      </c>
      <c r="B87" s="10">
        <f t="shared" si="12"/>
        <v>0.39805000000000001</v>
      </c>
      <c r="C87" s="28">
        <f t="shared" si="6"/>
        <v>-1.9999999999999999E-6</v>
      </c>
      <c r="D87" s="28">
        <f t="shared" si="7"/>
        <v>5.2631578947368416E-7</v>
      </c>
      <c r="E87" s="28">
        <f t="shared" si="16"/>
        <v>-678571.42857142852</v>
      </c>
      <c r="F87" s="28">
        <f t="shared" si="8"/>
        <v>0.28024116666666915</v>
      </c>
      <c r="G87" s="28">
        <f>+DCR*0.001*2*'Efficiency Summary'!B87*'Efficiency Summary'!$B$44/3</f>
        <v>6.3688000000000008E-3</v>
      </c>
      <c r="H87" s="28">
        <f t="shared" si="13"/>
        <v>1.5922000000000002E-3</v>
      </c>
      <c r="I87" s="10">
        <f>2*Ron_u*0.001*'Efficiency Summary'!B87*'Efficiency Summary'!$B$44*Vout/(3*Vin)</f>
        <v>1.8007023809523817E-2</v>
      </c>
      <c r="J87" s="28">
        <f>+B87*(Vout*(Vin-Vout)/('Efficiency Summary'!$B$44*Lout*0.000001))*'Power Loss'!$B$92*0.000000001</f>
        <v>-3.0251800000000001E-3</v>
      </c>
      <c r="K87" s="10">
        <f>+'Power Loss'!$B$89*0.000000001*Vin^2*2*'Efficiency Summary'!B87*Vout*(Vin-Vout)/(Lout*0.000001*'Power Loss'!$B$119*'Efficiency Summary'!$B$44^2)</f>
        <v>-3.3882016000000002E-3</v>
      </c>
      <c r="L87" s="10">
        <f>2*Ron_l*0.001*'Efficiency Summary'!$B$46*'Efficiency Summary'!$B$44*(Vin-Vout)/(3*Vin)</f>
        <v>-2.380952380952382E-3</v>
      </c>
      <c r="M87" s="10">
        <f>+'Power Loss'!$B$107*0.000000001*Vin^2*2*'Efficiency Summary'!B87*Vout*(Vin-Vout)/(Lout*0.000001*'Power Loss'!$B$119*'Efficiency Summary'!$B$44^2)</f>
        <v>-3.3882016000000002E-3</v>
      </c>
      <c r="N87" s="10">
        <f>+$K$44*$K$45*0.000000001*2*B87*Vout*(Vin-Vout)/('Efficiency Summary'!$B$44^2*Lout*0.000001*Vin)</f>
        <v>-1.3505267857142858E-3</v>
      </c>
      <c r="O87" s="10">
        <f t="shared" si="14"/>
        <v>2.2113888888888891E-4</v>
      </c>
      <c r="P87" s="10">
        <f t="shared" si="11"/>
        <v>3.7636200000000002E-2</v>
      </c>
      <c r="Q87" s="28">
        <v>109.57425908503176</v>
      </c>
      <c r="R87" s="10"/>
      <c r="S87" s="10"/>
      <c r="T87" s="10"/>
    </row>
    <row r="88" spans="1:20" s="18" customFormat="1" ht="12.9" customHeight="1" x14ac:dyDescent="0.25">
      <c r="A88" s="10">
        <f t="shared" si="15"/>
        <v>41</v>
      </c>
      <c r="B88" s="10">
        <f t="shared" si="12"/>
        <v>0.41795000000000004</v>
      </c>
      <c r="C88" s="28">
        <f t="shared" si="6"/>
        <v>-1.9999999999999999E-6</v>
      </c>
      <c r="D88" s="28">
        <f t="shared" si="7"/>
        <v>5.2631578947368416E-7</v>
      </c>
      <c r="E88" s="28">
        <f t="shared" si="16"/>
        <v>-678571.42857142852</v>
      </c>
      <c r="F88" s="28">
        <f t="shared" si="8"/>
        <v>0.28452373976608436</v>
      </c>
      <c r="G88" s="28">
        <f>+DCR*0.001*2*'Efficiency Summary'!B88*'Efficiency Summary'!$B$44/3</f>
        <v>6.6872000000000008E-3</v>
      </c>
      <c r="H88" s="28">
        <f t="shared" si="13"/>
        <v>1.6718000000000002E-3</v>
      </c>
      <c r="I88" s="10">
        <f>2*Ron_u*0.001*'Efficiency Summary'!B88*'Efficiency Summary'!$B$44*Vout/(3*Vin)</f>
        <v>1.8907261904761909E-2</v>
      </c>
      <c r="J88" s="28">
        <f>+B88*(Vout*(Vin-Vout)/('Efficiency Summary'!$B$44*Lout*0.000001))*'Power Loss'!$B$92*0.000000001</f>
        <v>-3.1764200000000005E-3</v>
      </c>
      <c r="K88" s="10">
        <f>+'Power Loss'!$B$89*0.000000001*Vin^2*2*'Efficiency Summary'!B88*Vout*(Vin-Vout)/(Lout*0.000001*'Power Loss'!$B$119*'Efficiency Summary'!$B$44^2)</f>
        <v>-3.5575903999999999E-3</v>
      </c>
      <c r="L88" s="10">
        <f>2*Ron_l*0.001*'Efficiency Summary'!$B$46*'Efficiency Summary'!$B$44*(Vin-Vout)/(3*Vin)</f>
        <v>-2.380952380952382E-3</v>
      </c>
      <c r="M88" s="10">
        <f>+'Power Loss'!$B$107*0.000000001*Vin^2*2*'Efficiency Summary'!B88*Vout*(Vin-Vout)/(Lout*0.000001*'Power Loss'!$B$119*'Efficiency Summary'!$B$44^2)</f>
        <v>-3.5575903999999999E-3</v>
      </c>
      <c r="N88" s="10">
        <f>+$K$44*$K$45*0.000000001*2*B88*Vout*(Vin-Vout)/('Efficiency Summary'!$B$44^2*Lout*0.000001*Vin)</f>
        <v>-1.418044642857143E-3</v>
      </c>
      <c r="O88" s="10">
        <f t="shared" si="14"/>
        <v>2.3219444444444448E-4</v>
      </c>
      <c r="P88" s="10">
        <f t="shared" si="11"/>
        <v>3.9307800000000004E-2</v>
      </c>
      <c r="Q88" s="28">
        <v>109.52870700396225</v>
      </c>
      <c r="R88" s="10"/>
      <c r="S88" s="10"/>
      <c r="T88" s="10"/>
    </row>
    <row r="89" spans="1:20" s="18" customFormat="1" ht="12.9" customHeight="1" x14ac:dyDescent="0.25">
      <c r="A89" s="10">
        <f t="shared" si="15"/>
        <v>43</v>
      </c>
      <c r="B89" s="10">
        <f t="shared" si="12"/>
        <v>0.43785000000000002</v>
      </c>
      <c r="C89" s="28">
        <f t="shared" si="6"/>
        <v>-1.9999999999999999E-6</v>
      </c>
      <c r="D89" s="28">
        <f t="shared" si="7"/>
        <v>5.2631578947368416E-7</v>
      </c>
      <c r="E89" s="28">
        <f t="shared" si="16"/>
        <v>-678571.42857142852</v>
      </c>
      <c r="F89" s="28">
        <f t="shared" si="8"/>
        <v>0.28787997368421303</v>
      </c>
      <c r="G89" s="28">
        <f>+DCR*0.001*2*'Efficiency Summary'!B89*'Efficiency Summary'!$B$44/3</f>
        <v>7.0056000000000007E-3</v>
      </c>
      <c r="H89" s="28">
        <f t="shared" si="13"/>
        <v>1.7514000000000002E-3</v>
      </c>
      <c r="I89" s="10">
        <f>2*Ron_u*0.001*'Efficiency Summary'!B89*'Efficiency Summary'!$B$44*Vout/(3*Vin)</f>
        <v>1.9807500000000002E-2</v>
      </c>
      <c r="J89" s="28">
        <f>+B89*(Vout*(Vin-Vout)/('Efficiency Summary'!$B$44*Lout*0.000001))*'Power Loss'!$B$92*0.000000001</f>
        <v>-3.3276600000000001E-3</v>
      </c>
      <c r="K89" s="10">
        <f>+'Power Loss'!$B$89*0.000000001*Vin^2*2*'Efficiency Summary'!B89*Vout*(Vin-Vout)/(Lout*0.000001*'Power Loss'!$B$119*'Efficiency Summary'!$B$44^2)</f>
        <v>-3.7269792000000001E-3</v>
      </c>
      <c r="L89" s="10">
        <f>2*Ron_l*0.001*'Efficiency Summary'!$B$46*'Efficiency Summary'!$B$44*(Vin-Vout)/(3*Vin)</f>
        <v>-2.380952380952382E-3</v>
      </c>
      <c r="M89" s="10">
        <f>+'Power Loss'!$B$107*0.000000001*Vin^2*2*'Efficiency Summary'!B89*Vout*(Vin-Vout)/(Lout*0.000001*'Power Loss'!$B$119*'Efficiency Summary'!$B$44^2)</f>
        <v>-3.7269792000000001E-3</v>
      </c>
      <c r="N89" s="10">
        <f>+$K$44*$K$45*0.000000001*2*B89*Vout*(Vin-Vout)/('Efficiency Summary'!$B$44^2*Lout*0.000001*Vin)</f>
        <v>-1.4855625000000001E-3</v>
      </c>
      <c r="O89" s="10">
        <f t="shared" si="14"/>
        <v>2.4325000000000003E-4</v>
      </c>
      <c r="P89" s="10">
        <f t="shared" si="11"/>
        <v>4.0979399999999992E-2</v>
      </c>
      <c r="Q89" s="28">
        <v>109.48732840203913</v>
      </c>
      <c r="R89" s="10"/>
      <c r="S89" s="10"/>
      <c r="T89" s="10"/>
    </row>
    <row r="90" spans="1:20" s="18" customFormat="1" ht="12.9" customHeight="1" x14ac:dyDescent="0.25">
      <c r="A90" s="10">
        <f t="shared" si="15"/>
        <v>45</v>
      </c>
      <c r="B90" s="10">
        <f t="shared" si="12"/>
        <v>0.45775000000000005</v>
      </c>
      <c r="C90" s="28">
        <f t="shared" si="6"/>
        <v>-1.9999999999999999E-6</v>
      </c>
      <c r="D90" s="28">
        <f t="shared" si="7"/>
        <v>5.2631578947368416E-7</v>
      </c>
      <c r="E90" s="28">
        <f t="shared" si="16"/>
        <v>-678571.42857142852</v>
      </c>
      <c r="F90" s="28">
        <f t="shared" si="8"/>
        <v>0.29030986842105516</v>
      </c>
      <c r="G90" s="28">
        <f>+DCR*0.001*2*'Efficiency Summary'!B90*'Efficiency Summary'!$B$44/3</f>
        <v>7.3240000000000006E-3</v>
      </c>
      <c r="H90" s="28">
        <f t="shared" si="13"/>
        <v>1.8310000000000002E-3</v>
      </c>
      <c r="I90" s="10">
        <f>2*Ron_u*0.001*'Efficiency Summary'!B90*'Efficiency Summary'!$B$44*Vout/(3*Vin)</f>
        <v>2.0707738095238105E-2</v>
      </c>
      <c r="J90" s="28">
        <f>+B90*(Vout*(Vin-Vout)/('Efficiency Summary'!$B$44*Lout*0.000001))*'Power Loss'!$B$92*0.000000001</f>
        <v>-3.4789000000000005E-3</v>
      </c>
      <c r="K90" s="10">
        <f>+'Power Loss'!$B$89*0.000000001*Vin^2*2*'Efficiency Summary'!B90*Vout*(Vin-Vout)/(Lout*0.000001*'Power Loss'!$B$119*'Efficiency Summary'!$B$44^2)</f>
        <v>-3.8963680000000003E-3</v>
      </c>
      <c r="L90" s="10">
        <f>2*Ron_l*0.001*'Efficiency Summary'!$B$46*'Efficiency Summary'!$B$44*(Vin-Vout)/(3*Vin)</f>
        <v>-2.380952380952382E-3</v>
      </c>
      <c r="M90" s="10">
        <f>+'Power Loss'!$B$107*0.000000001*Vin^2*2*'Efficiency Summary'!B90*Vout*(Vin-Vout)/(Lout*0.000001*'Power Loss'!$B$119*'Efficiency Summary'!$B$44^2)</f>
        <v>-3.8963680000000003E-3</v>
      </c>
      <c r="N90" s="10">
        <f>+$K$44*$K$45*0.000000001*2*B90*Vout*(Vin-Vout)/('Efficiency Summary'!$B$44^2*Lout*0.000001*Vin)</f>
        <v>-1.5530803571428573E-3</v>
      </c>
      <c r="O90" s="10">
        <f t="shared" si="14"/>
        <v>2.5430555555555558E-4</v>
      </c>
      <c r="P90" s="10">
        <f t="shared" si="11"/>
        <v>4.2651000000000001E-2</v>
      </c>
      <c r="Q90" s="28">
        <v>109.44957484225397</v>
      </c>
      <c r="R90" s="10"/>
      <c r="S90" s="10"/>
      <c r="T90" s="10"/>
    </row>
    <row r="91" spans="1:20" s="18" customFormat="1" ht="12.9" customHeight="1" x14ac:dyDescent="0.25">
      <c r="A91" s="10">
        <f t="shared" si="15"/>
        <v>47</v>
      </c>
      <c r="B91" s="10">
        <f t="shared" si="12"/>
        <v>0.47765000000000002</v>
      </c>
      <c r="C91" s="28">
        <f t="shared" si="6"/>
        <v>-1.9999999999999999E-6</v>
      </c>
      <c r="D91" s="28">
        <f t="shared" si="7"/>
        <v>5.2631578947368416E-7</v>
      </c>
      <c r="E91" s="28">
        <f t="shared" si="16"/>
        <v>-678571.42857142852</v>
      </c>
      <c r="F91" s="28">
        <f t="shared" si="8"/>
        <v>0.29181342397661081</v>
      </c>
      <c r="G91" s="28">
        <f>+DCR*0.001*2*'Efficiency Summary'!B91*'Efficiency Summary'!$B$44/3</f>
        <v>7.6424000000000006E-3</v>
      </c>
      <c r="H91" s="28">
        <f t="shared" si="13"/>
        <v>1.9106000000000001E-3</v>
      </c>
      <c r="I91" s="10">
        <f>2*Ron_u*0.001*'Efficiency Summary'!B91*'Efficiency Summary'!$B$44*Vout/(3*Vin)</f>
        <v>2.1607976190476195E-2</v>
      </c>
      <c r="J91" s="28">
        <f>+B91*(Vout*(Vin-Vout)/('Efficiency Summary'!$B$44*Lout*0.000001))*'Power Loss'!$B$92*0.000000001</f>
        <v>-3.63014E-3</v>
      </c>
      <c r="K91" s="10">
        <f>+'Power Loss'!$B$89*0.000000001*Vin^2*2*'Efficiency Summary'!B91*Vout*(Vin-Vout)/(Lout*0.000001*'Power Loss'!$B$119*'Efficiency Summary'!$B$44^2)</f>
        <v>-4.0657567999999996E-3</v>
      </c>
      <c r="L91" s="10">
        <f>2*Ron_l*0.001*'Efficiency Summary'!$B$46*'Efficiency Summary'!$B$44*(Vin-Vout)/(3*Vin)</f>
        <v>-2.380952380952382E-3</v>
      </c>
      <c r="M91" s="10">
        <f>+'Power Loss'!$B$107*0.000000001*Vin^2*2*'Efficiency Summary'!B91*Vout*(Vin-Vout)/(Lout*0.000001*'Power Loss'!$B$119*'Efficiency Summary'!$B$44^2)</f>
        <v>-4.0657567999999996E-3</v>
      </c>
      <c r="N91" s="10">
        <f>+$K$44*$K$45*0.000000001*2*B91*Vout*(Vin-Vout)/('Efficiency Summary'!$B$44^2*Lout*0.000001*Vin)</f>
        <v>-1.6205982142857146E-3</v>
      </c>
      <c r="O91" s="10">
        <f t="shared" si="14"/>
        <v>2.6536111111111113E-4</v>
      </c>
      <c r="P91" s="10">
        <f t="shared" si="11"/>
        <v>4.4322600000000004E-2</v>
      </c>
      <c r="Q91" s="28">
        <v>109.41498994851867</v>
      </c>
      <c r="R91" s="10"/>
      <c r="S91" s="10"/>
      <c r="T91" s="10"/>
    </row>
    <row r="92" spans="1:20" s="18" customFormat="1" ht="12.9" customHeight="1" x14ac:dyDescent="0.25">
      <c r="A92" s="10">
        <f t="shared" si="15"/>
        <v>49</v>
      </c>
      <c r="B92" s="10">
        <f t="shared" si="12"/>
        <v>0.49755000000000005</v>
      </c>
      <c r="C92" s="28">
        <f t="shared" si="6"/>
        <v>-1.9999999999999999E-6</v>
      </c>
      <c r="D92" s="28">
        <f t="shared" si="7"/>
        <v>5.2631578947368416E-7</v>
      </c>
      <c r="E92" s="28">
        <f t="shared" si="16"/>
        <v>-678571.42857142852</v>
      </c>
      <c r="F92" s="28">
        <f t="shared" si="8"/>
        <v>0.2923906403508798</v>
      </c>
      <c r="G92" s="28">
        <f>+DCR*0.001*2*'Efficiency Summary'!B92*'Efficiency Summary'!$B$44/3</f>
        <v>7.9608000000000005E-3</v>
      </c>
      <c r="H92" s="28">
        <f t="shared" si="13"/>
        <v>1.9902000000000001E-3</v>
      </c>
      <c r="I92" s="10">
        <f>2*Ron_u*0.001*'Efficiency Summary'!B92*'Efficiency Summary'!$B$44*Vout/(3*Vin)</f>
        <v>2.2508214285714291E-2</v>
      </c>
      <c r="J92" s="28">
        <f>+B92*(Vout*(Vin-Vout)/('Efficiency Summary'!$B$44*Lout*0.000001))*'Power Loss'!$B$92*0.000000001</f>
        <v>-3.7813800000000009E-3</v>
      </c>
      <c r="K92" s="10">
        <f>+'Power Loss'!$B$89*0.000000001*Vin^2*2*'Efficiency Summary'!B92*Vout*(Vin-Vout)/(Lout*0.000001*'Power Loss'!$B$119*'Efficiency Summary'!$B$44^2)</f>
        <v>-4.2351456000000003E-3</v>
      </c>
      <c r="L92" s="10">
        <f>2*Ron_l*0.001*'Efficiency Summary'!$B$46*'Efficiency Summary'!$B$44*(Vin-Vout)/(3*Vin)</f>
        <v>-2.380952380952382E-3</v>
      </c>
      <c r="M92" s="10">
        <f>+'Power Loss'!$B$107*0.000000001*Vin^2*2*'Efficiency Summary'!B92*Vout*(Vin-Vout)/(Lout*0.000001*'Power Loss'!$B$119*'Efficiency Summary'!$B$44^2)</f>
        <v>-4.2351456000000003E-3</v>
      </c>
      <c r="N92" s="10">
        <f>+$K$44*$K$45*0.000000001*2*B92*Vout*(Vin-Vout)/('Efficiency Summary'!$B$44^2*Lout*0.000001*Vin)</f>
        <v>-1.6881160714285715E-3</v>
      </c>
      <c r="O92" s="10">
        <f t="shared" si="14"/>
        <v>2.7641666666666673E-4</v>
      </c>
      <c r="P92" s="10">
        <f t="shared" si="11"/>
        <v>4.5994199999999999E-2</v>
      </c>
      <c r="Q92" s="28">
        <v>109.38319086690464</v>
      </c>
      <c r="R92" s="10"/>
      <c r="S92" s="10"/>
      <c r="T92" s="10"/>
    </row>
    <row r="93" spans="1:20" s="18" customFormat="1" ht="12.9" customHeight="1" x14ac:dyDescent="0.25">
      <c r="A93" s="10">
        <f t="shared" si="15"/>
        <v>51</v>
      </c>
      <c r="B93" s="10">
        <f t="shared" si="12"/>
        <v>0.51745000000000008</v>
      </c>
      <c r="C93" s="28">
        <f t="shared" si="6"/>
        <v>-1.9999999999999999E-6</v>
      </c>
      <c r="D93" s="28">
        <f t="shared" si="7"/>
        <v>5.2631578947368416E-7</v>
      </c>
      <c r="E93" s="28">
        <f t="shared" si="16"/>
        <v>-678571.42857142852</v>
      </c>
      <c r="F93" s="28">
        <f t="shared" si="8"/>
        <v>0.29204151754386226</v>
      </c>
      <c r="G93" s="28">
        <f>+DCR*0.001*2*'Efficiency Summary'!B93*'Efficiency Summary'!$B$44/3</f>
        <v>8.2792000000000022E-3</v>
      </c>
      <c r="H93" s="28">
        <f t="shared" si="13"/>
        <v>2.0698000000000005E-3</v>
      </c>
      <c r="I93" s="10">
        <f>2*Ron_u*0.001*'Efficiency Summary'!B93*'Efficiency Summary'!$B$44*Vout/(3*Vin)</f>
        <v>2.3408452380952387E-2</v>
      </c>
      <c r="J93" s="28">
        <f>+B93*(Vout*(Vin-Vout)/('Efficiency Summary'!$B$44*Lout*0.000001))*'Power Loss'!$B$92*0.000000001</f>
        <v>-3.9326200000000004E-3</v>
      </c>
      <c r="K93" s="10">
        <f>+'Power Loss'!$B$89*0.000000001*Vin^2*2*'Efficiency Summary'!B93*Vout*(Vin-Vout)/(Lout*0.000001*'Power Loss'!$B$119*'Efficiency Summary'!$B$44^2)</f>
        <v>-4.4045344000000009E-3</v>
      </c>
      <c r="L93" s="10">
        <f>2*Ron_l*0.001*'Efficiency Summary'!$B$46*'Efficiency Summary'!$B$44*(Vin-Vout)/(3*Vin)</f>
        <v>-2.380952380952382E-3</v>
      </c>
      <c r="M93" s="10">
        <f>+'Power Loss'!$B$107*0.000000001*Vin^2*2*'Efficiency Summary'!B93*Vout*(Vin-Vout)/(Lout*0.000001*'Power Loss'!$B$119*'Efficiency Summary'!$B$44^2)</f>
        <v>-4.4045344000000009E-3</v>
      </c>
      <c r="N93" s="10">
        <f>+$K$44*$K$45*0.000000001*2*B93*Vout*(Vin-Vout)/('Efficiency Summary'!$B$44^2*Lout*0.000001*Vin)</f>
        <v>-1.7556339285714291E-3</v>
      </c>
      <c r="O93" s="10">
        <f t="shared" si="14"/>
        <v>2.8747222222222227E-4</v>
      </c>
      <c r="P93" s="10">
        <f t="shared" si="11"/>
        <v>4.7665800000000008E-2</v>
      </c>
      <c r="Q93" s="28">
        <v>109.35385403332991</v>
      </c>
      <c r="R93" s="10"/>
      <c r="S93" s="10"/>
      <c r="T93" s="10"/>
    </row>
    <row r="94" spans="1:20" s="18" customFormat="1" ht="12.9" customHeight="1" x14ac:dyDescent="0.25">
      <c r="A94" s="10">
        <f t="shared" si="15"/>
        <v>53</v>
      </c>
      <c r="B94" s="10">
        <f t="shared" si="12"/>
        <v>0.53734999999999999</v>
      </c>
      <c r="C94" s="28">
        <f t="shared" si="6"/>
        <v>-1.9999999999999999E-6</v>
      </c>
      <c r="D94" s="28">
        <f t="shared" si="7"/>
        <v>5.2631578947368416E-7</v>
      </c>
      <c r="E94" s="28">
        <f t="shared" si="16"/>
        <v>-678571.42857142852</v>
      </c>
      <c r="F94" s="28">
        <f t="shared" si="8"/>
        <v>0.29076605555555812</v>
      </c>
      <c r="G94" s="28">
        <f>+DCR*0.001*2*'Efficiency Summary'!B94*'Efficiency Summary'!$B$44/3</f>
        <v>8.5976000000000004E-3</v>
      </c>
      <c r="H94" s="28">
        <f t="shared" si="13"/>
        <v>2.1494000000000001E-3</v>
      </c>
      <c r="I94" s="10">
        <f>2*Ron_u*0.001*'Efficiency Summary'!B94*'Efficiency Summary'!$B$44*Vout/(3*Vin)</f>
        <v>2.430869047619048E-2</v>
      </c>
      <c r="J94" s="28">
        <f>+B94*(Vout*(Vin-Vout)/('Efficiency Summary'!$B$44*Lout*0.000001))*'Power Loss'!$B$92*0.000000001</f>
        <v>-4.0838599999999999E-3</v>
      </c>
      <c r="K94" s="10">
        <f>+'Power Loss'!$B$89*0.000000001*Vin^2*2*'Efficiency Summary'!B94*Vout*(Vin-Vout)/(Lout*0.000001*'Power Loss'!$B$119*'Efficiency Summary'!$B$44^2)</f>
        <v>-4.5739231999999998E-3</v>
      </c>
      <c r="L94" s="10">
        <f>2*Ron_l*0.001*'Efficiency Summary'!$B$46*'Efficiency Summary'!$B$44*(Vin-Vout)/(3*Vin)</f>
        <v>-2.380952380952382E-3</v>
      </c>
      <c r="M94" s="10">
        <f>+'Power Loss'!$B$107*0.000000001*Vin^2*2*'Efficiency Summary'!B94*Vout*(Vin-Vout)/(Lout*0.000001*'Power Loss'!$B$119*'Efficiency Summary'!$B$44^2)</f>
        <v>-4.5739231999999998E-3</v>
      </c>
      <c r="N94" s="10">
        <f>+$K$44*$K$45*0.000000001*2*B94*Vout*(Vin-Vout)/('Efficiency Summary'!$B$44^2*Lout*0.000001*Vin)</f>
        <v>-1.8231517857142856E-3</v>
      </c>
      <c r="O94" s="10">
        <f t="shared" si="14"/>
        <v>2.9852777777777777E-4</v>
      </c>
      <c r="P94" s="10">
        <f t="shared" si="11"/>
        <v>4.9337399999999997E-2</v>
      </c>
      <c r="Q94" s="28">
        <v>109.3267041241041</v>
      </c>
      <c r="R94" s="10"/>
      <c r="S94" s="10"/>
      <c r="T94" s="10"/>
    </row>
    <row r="95" spans="1:20" s="18" customFormat="1" ht="12.9" customHeight="1" x14ac:dyDescent="0.25">
      <c r="A95" s="10">
        <f t="shared" si="15"/>
        <v>55</v>
      </c>
      <c r="B95" s="10">
        <f t="shared" si="12"/>
        <v>0.55725000000000002</v>
      </c>
      <c r="C95" s="28">
        <f t="shared" si="6"/>
        <v>-1.9999999999999999E-6</v>
      </c>
      <c r="D95" s="28">
        <f t="shared" si="7"/>
        <v>5.2631578947368416E-7</v>
      </c>
      <c r="E95" s="28">
        <f t="shared" si="16"/>
        <v>-678571.42857142852</v>
      </c>
      <c r="F95" s="28">
        <f t="shared" si="8"/>
        <v>0.28856425438596744</v>
      </c>
      <c r="G95" s="28">
        <f>+DCR*0.001*2*'Efficiency Summary'!B95*'Efficiency Summary'!$B$44/3</f>
        <v>8.9160000000000003E-3</v>
      </c>
      <c r="H95" s="28">
        <f t="shared" si="13"/>
        <v>2.2290000000000001E-3</v>
      </c>
      <c r="I95" s="10">
        <f>2*Ron_u*0.001*'Efficiency Summary'!B95*'Efficiency Summary'!$B$44*Vout/(3*Vin)</f>
        <v>2.5208928571428577E-2</v>
      </c>
      <c r="J95" s="28">
        <f>+B95*(Vout*(Vin-Vout)/('Efficiency Summary'!$B$44*Lout*0.000001))*'Power Loss'!$B$92*0.000000001</f>
        <v>-4.2351000000000003E-3</v>
      </c>
      <c r="K95" s="10">
        <f>+'Power Loss'!$B$89*0.000000001*Vin^2*2*'Efficiency Summary'!B95*Vout*(Vin-Vout)/(Lout*0.000001*'Power Loss'!$B$119*'Efficiency Summary'!$B$44^2)</f>
        <v>-4.7433120000000004E-3</v>
      </c>
      <c r="L95" s="10">
        <f>2*Ron_l*0.001*'Efficiency Summary'!$B$46*'Efficiency Summary'!$B$44*(Vin-Vout)/(3*Vin)</f>
        <v>-2.380952380952382E-3</v>
      </c>
      <c r="M95" s="10">
        <f>+'Power Loss'!$B$107*0.000000001*Vin^2*2*'Efficiency Summary'!B95*Vout*(Vin-Vout)/(Lout*0.000001*'Power Loss'!$B$119*'Efficiency Summary'!$B$44^2)</f>
        <v>-4.7433120000000004E-3</v>
      </c>
      <c r="N95" s="10">
        <f>+$K$44*$K$45*0.000000001*2*B95*Vout*(Vin-Vout)/('Efficiency Summary'!$B$44^2*Lout*0.000001*Vin)</f>
        <v>-1.8906696428571429E-3</v>
      </c>
      <c r="O95" s="10">
        <f t="shared" si="14"/>
        <v>3.0958333333333337E-4</v>
      </c>
      <c r="P95" s="10">
        <f t="shared" si="11"/>
        <v>5.1008999999999999E-2</v>
      </c>
      <c r="Q95" s="28">
        <v>109.30150538873623</v>
      </c>
      <c r="R95" s="10"/>
      <c r="S95" s="10"/>
      <c r="T95" s="10"/>
    </row>
    <row r="96" spans="1:20" s="18" customFormat="1" ht="12.9" customHeight="1" x14ac:dyDescent="0.25">
      <c r="A96" s="10">
        <f t="shared" si="15"/>
        <v>57</v>
      </c>
      <c r="B96" s="10">
        <f t="shared" si="12"/>
        <v>0.57715000000000005</v>
      </c>
      <c r="C96" s="28">
        <f t="shared" si="6"/>
        <v>-1.9999999999999999E-6</v>
      </c>
      <c r="D96" s="28">
        <f t="shared" si="7"/>
        <v>5.2631578947368416E-7</v>
      </c>
      <c r="E96" s="28">
        <f t="shared" si="16"/>
        <v>-678571.42857142852</v>
      </c>
      <c r="F96" s="28">
        <f t="shared" si="8"/>
        <v>0.28543611403509023</v>
      </c>
      <c r="G96" s="28">
        <f>+DCR*0.001*2*'Efficiency Summary'!B96*'Efficiency Summary'!$B$44/3</f>
        <v>9.234400000000002E-3</v>
      </c>
      <c r="H96" s="28">
        <f t="shared" si="13"/>
        <v>2.3086000000000005E-3</v>
      </c>
      <c r="I96" s="10">
        <f>2*Ron_u*0.001*'Efficiency Summary'!B96*'Efficiency Summary'!$B$44*Vout/(3*Vin)</f>
        <v>2.6109166666666673E-2</v>
      </c>
      <c r="J96" s="28">
        <f>+B96*(Vout*(Vin-Vout)/('Efficiency Summary'!$B$44*Lout*0.000001))*'Power Loss'!$B$92*0.000000001</f>
        <v>-4.3863399999999999E-3</v>
      </c>
      <c r="K96" s="10">
        <f>+'Power Loss'!$B$89*0.000000001*Vin^2*2*'Efficiency Summary'!B96*Vout*(Vin-Vout)/(Lout*0.000001*'Power Loss'!$B$119*'Efficiency Summary'!$B$44^2)</f>
        <v>-4.912700800000001E-3</v>
      </c>
      <c r="L96" s="10">
        <f>2*Ron_l*0.001*'Efficiency Summary'!$B$46*'Efficiency Summary'!$B$44*(Vin-Vout)/(3*Vin)</f>
        <v>-2.380952380952382E-3</v>
      </c>
      <c r="M96" s="10">
        <f>+'Power Loss'!$B$107*0.000000001*Vin^2*2*'Efficiency Summary'!B96*Vout*(Vin-Vout)/(Lout*0.000001*'Power Loss'!$B$119*'Efficiency Summary'!$B$44^2)</f>
        <v>-4.912700800000001E-3</v>
      </c>
      <c r="N96" s="10">
        <f>+$K$44*$K$45*0.000000001*2*B96*Vout*(Vin-Vout)/('Efficiency Summary'!$B$44^2*Lout*0.000001*Vin)</f>
        <v>-1.9581875000000003E-3</v>
      </c>
      <c r="O96" s="10">
        <f t="shared" si="14"/>
        <v>3.2063888888888892E-4</v>
      </c>
      <c r="P96" s="10">
        <f t="shared" si="11"/>
        <v>5.2680600000000001E-2</v>
      </c>
      <c r="Q96" s="28">
        <v>109.27805478657223</v>
      </c>
      <c r="R96" s="10"/>
      <c r="S96" s="10"/>
      <c r="T96" s="10"/>
    </row>
    <row r="97" spans="1:20" s="18" customFormat="1" ht="12.9" customHeight="1" x14ac:dyDescent="0.25">
      <c r="A97" s="10">
        <f t="shared" si="15"/>
        <v>59</v>
      </c>
      <c r="B97" s="10">
        <f t="shared" si="12"/>
        <v>0.59705000000000008</v>
      </c>
      <c r="C97" s="28">
        <f t="shared" si="6"/>
        <v>-1.9999999999999999E-6</v>
      </c>
      <c r="D97" s="28">
        <f t="shared" si="7"/>
        <v>5.2631578947368416E-7</v>
      </c>
      <c r="E97" s="28">
        <f t="shared" si="16"/>
        <v>-678571.42857142852</v>
      </c>
      <c r="F97" s="28">
        <f t="shared" si="8"/>
        <v>0.28138163450292647</v>
      </c>
      <c r="G97" s="28">
        <f>+DCR*0.001*2*'Efficiency Summary'!B97*'Efficiency Summary'!$B$44/3</f>
        <v>9.5528000000000019E-3</v>
      </c>
      <c r="H97" s="28">
        <f t="shared" si="13"/>
        <v>2.3882000000000005E-3</v>
      </c>
      <c r="I97" s="10">
        <f>2*Ron_u*0.001*'Efficiency Summary'!B97*'Efficiency Summary'!$B$44*Vout/(3*Vin)</f>
        <v>2.7009404761904769E-2</v>
      </c>
      <c r="J97" s="28">
        <f>+B97*(Vout*(Vin-Vout)/('Efficiency Summary'!$B$44*Lout*0.000001))*'Power Loss'!$B$92*0.000000001</f>
        <v>-4.5375800000000011E-3</v>
      </c>
      <c r="K97" s="10">
        <f>+'Power Loss'!$B$89*0.000000001*Vin^2*2*'Efficiency Summary'!B97*Vout*(Vin-Vout)/(Lout*0.000001*'Power Loss'!$B$119*'Efficiency Summary'!$B$44^2)</f>
        <v>-5.0820895999999999E-3</v>
      </c>
      <c r="L97" s="10">
        <f>2*Ron_l*0.001*'Efficiency Summary'!$B$46*'Efficiency Summary'!$B$44*(Vin-Vout)/(3*Vin)</f>
        <v>-2.380952380952382E-3</v>
      </c>
      <c r="M97" s="10">
        <f>+'Power Loss'!$B$107*0.000000001*Vin^2*2*'Efficiency Summary'!B97*Vout*(Vin-Vout)/(Lout*0.000001*'Power Loss'!$B$119*'Efficiency Summary'!$B$44^2)</f>
        <v>-5.0820895999999999E-3</v>
      </c>
      <c r="N97" s="10">
        <f>+$K$44*$K$45*0.000000001*2*B97*Vout*(Vin-Vout)/('Efficiency Summary'!$B$44^2*Lout*0.000001*Vin)</f>
        <v>-2.0257053571428574E-3</v>
      </c>
      <c r="O97" s="10">
        <f t="shared" si="14"/>
        <v>3.3169444444444452E-4</v>
      </c>
      <c r="P97" s="10">
        <f t="shared" si="11"/>
        <v>5.435220000000001E-2</v>
      </c>
      <c r="Q97" s="28">
        <v>109.25617650395952</v>
      </c>
      <c r="R97" s="10"/>
      <c r="S97" s="10"/>
      <c r="T97" s="10"/>
    </row>
    <row r="98" spans="1:20" s="18" customFormat="1" ht="12.9" customHeight="1" x14ac:dyDescent="0.25">
      <c r="A98" s="10">
        <f t="shared" si="15"/>
        <v>61</v>
      </c>
      <c r="B98" s="10">
        <f t="shared" si="12"/>
        <v>0.61695</v>
      </c>
      <c r="C98" s="28">
        <f t="shared" si="6"/>
        <v>-1.9999999999999999E-6</v>
      </c>
      <c r="D98" s="28">
        <f t="shared" si="7"/>
        <v>5.2631578947368416E-7</v>
      </c>
      <c r="E98" s="28">
        <f t="shared" si="16"/>
        <v>-678571.42857142852</v>
      </c>
      <c r="F98" s="28">
        <f t="shared" si="8"/>
        <v>0.27640081578947612</v>
      </c>
      <c r="G98" s="28">
        <f>+DCR*0.001*2*'Efficiency Summary'!B98*'Efficiency Summary'!$B$44/3</f>
        <v>9.8712000000000001E-3</v>
      </c>
      <c r="H98" s="28">
        <f t="shared" si="13"/>
        <v>2.4678E-3</v>
      </c>
      <c r="I98" s="10">
        <f>2*Ron_u*0.001*'Efficiency Summary'!B98*'Efficiency Summary'!$B$44*Vout/(3*Vin)</f>
        <v>2.7909642857142859E-2</v>
      </c>
      <c r="J98" s="28">
        <f>+B98*(Vout*(Vin-Vout)/('Efficiency Summary'!$B$44*Lout*0.000001))*'Power Loss'!$B$92*0.000000001</f>
        <v>-4.6888200000000007E-3</v>
      </c>
      <c r="K98" s="10">
        <f>+'Power Loss'!$B$89*0.000000001*Vin^2*2*'Efficiency Summary'!B98*Vout*(Vin-Vout)/(Lout*0.000001*'Power Loss'!$B$119*'Efficiency Summary'!$B$44^2)</f>
        <v>-5.2514783999999988E-3</v>
      </c>
      <c r="L98" s="10">
        <f>2*Ron_l*0.001*'Efficiency Summary'!$B$46*'Efficiency Summary'!$B$44*(Vin-Vout)/(3*Vin)</f>
        <v>-2.380952380952382E-3</v>
      </c>
      <c r="M98" s="10">
        <f>+'Power Loss'!$B$107*0.000000001*Vin^2*2*'Efficiency Summary'!B98*Vout*(Vin-Vout)/(Lout*0.000001*'Power Loss'!$B$119*'Efficiency Summary'!$B$44^2)</f>
        <v>-5.2514783999999988E-3</v>
      </c>
      <c r="N98" s="10">
        <f>+$K$44*$K$45*0.000000001*2*B98*Vout*(Vin-Vout)/('Efficiency Summary'!$B$44^2*Lout*0.000001*Vin)</f>
        <v>-2.0932232142857146E-3</v>
      </c>
      <c r="O98" s="10">
        <f t="shared" si="14"/>
        <v>3.4275000000000001E-4</v>
      </c>
      <c r="P98" s="10">
        <f t="shared" si="11"/>
        <v>5.6023799999999999E-2</v>
      </c>
      <c r="Q98" s="28">
        <v>109.23571753848108</v>
      </c>
      <c r="R98" s="10"/>
      <c r="S98" s="10"/>
      <c r="T98" s="10"/>
    </row>
    <row r="99" spans="1:20" s="18" customFormat="1" ht="12.9" customHeight="1" x14ac:dyDescent="0.25">
      <c r="A99" s="10">
        <f t="shared" si="15"/>
        <v>63</v>
      </c>
      <c r="B99" s="10">
        <f t="shared" si="12"/>
        <v>0.63685000000000003</v>
      </c>
      <c r="C99" s="28">
        <f t="shared" si="6"/>
        <v>-1.9999999999999999E-6</v>
      </c>
      <c r="D99" s="28">
        <f t="shared" si="7"/>
        <v>5.2631578947368416E-7</v>
      </c>
      <c r="E99" s="28">
        <f t="shared" si="16"/>
        <v>-678571.42857142852</v>
      </c>
      <c r="F99" s="28">
        <f t="shared" si="8"/>
        <v>0.27049365789473923</v>
      </c>
      <c r="G99" s="28">
        <f>+DCR*0.001*2*'Efficiency Summary'!B99*'Efficiency Summary'!$B$44/3</f>
        <v>1.0189600000000002E-2</v>
      </c>
      <c r="H99" s="28">
        <f t="shared" si="13"/>
        <v>2.5474000000000004E-3</v>
      </c>
      <c r="I99" s="10">
        <f>2*Ron_u*0.001*'Efficiency Summary'!B99*'Efficiency Summary'!$B$44*Vout/(3*Vin)</f>
        <v>2.8809880952380958E-2</v>
      </c>
      <c r="J99" s="28">
        <f>+B99*(Vout*(Vin-Vout)/('Efficiency Summary'!$B$44*Lout*0.000001))*'Power Loss'!$B$92*0.000000001</f>
        <v>-4.8400600000000002E-3</v>
      </c>
      <c r="K99" s="10">
        <f>+'Power Loss'!$B$89*0.000000001*Vin^2*2*'Efficiency Summary'!B99*Vout*(Vin-Vout)/(Lout*0.000001*'Power Loss'!$B$119*'Efficiency Summary'!$B$44^2)</f>
        <v>-5.4208671999999994E-3</v>
      </c>
      <c r="L99" s="10">
        <f>2*Ron_l*0.001*'Efficiency Summary'!$B$46*'Efficiency Summary'!$B$44*(Vin-Vout)/(3*Vin)</f>
        <v>-2.380952380952382E-3</v>
      </c>
      <c r="M99" s="10">
        <f>+'Power Loss'!$B$107*0.000000001*Vin^2*2*'Efficiency Summary'!B99*Vout*(Vin-Vout)/(Lout*0.000001*'Power Loss'!$B$119*'Efficiency Summary'!$B$44^2)</f>
        <v>-5.4208671999999994E-3</v>
      </c>
      <c r="N99" s="10">
        <f>+$K$44*$K$45*0.000000001*2*B99*Vout*(Vin-Vout)/('Efficiency Summary'!$B$44^2*Lout*0.000001*Vin)</f>
        <v>-2.1607410714285713E-3</v>
      </c>
      <c r="O99" s="10">
        <f t="shared" si="14"/>
        <v>3.5380555555555556E-4</v>
      </c>
      <c r="P99" s="10">
        <f t="shared" si="11"/>
        <v>5.7695400000000001E-2</v>
      </c>
      <c r="Q99" s="28">
        <v>109.21654411558583</v>
      </c>
      <c r="R99" s="10"/>
      <c r="S99" s="10"/>
      <c r="T99" s="10"/>
    </row>
    <row r="100" spans="1:20" s="18" customFormat="1" ht="12.9" customHeight="1" x14ac:dyDescent="0.25">
      <c r="A100" s="10">
        <f t="shared" si="15"/>
        <v>65</v>
      </c>
      <c r="B100" s="10">
        <f t="shared" si="12"/>
        <v>0.65675000000000006</v>
      </c>
      <c r="C100" s="28">
        <f t="shared" si="6"/>
        <v>-1.9999999999999999E-6</v>
      </c>
      <c r="D100" s="28">
        <f t="shared" si="7"/>
        <v>5.2631578947368416E-7</v>
      </c>
      <c r="E100" s="28">
        <f t="shared" si="16"/>
        <v>-678571.42857142852</v>
      </c>
      <c r="F100" s="28">
        <f t="shared" si="8"/>
        <v>0.26366016081871579</v>
      </c>
      <c r="G100" s="28">
        <f>+DCR*0.001*2*'Efficiency Summary'!B100*'Efficiency Summary'!$B$44/3</f>
        <v>1.0508000000000002E-2</v>
      </c>
      <c r="H100" s="28">
        <f t="shared" si="13"/>
        <v>2.6270000000000004E-3</v>
      </c>
      <c r="I100" s="10">
        <f>2*Ron_u*0.001*'Efficiency Summary'!B100*'Efficiency Summary'!$B$44*Vout/(3*Vin)</f>
        <v>2.9710119047619058E-2</v>
      </c>
      <c r="J100" s="28">
        <f>+B100*(Vout*(Vin-Vout)/('Efficiency Summary'!$B$44*Lout*0.000001))*'Power Loss'!$B$92*0.000000001</f>
        <v>-4.9913000000000006E-3</v>
      </c>
      <c r="K100" s="10">
        <f>+'Power Loss'!$B$89*0.000000001*Vin^2*2*'Efficiency Summary'!B100*Vout*(Vin-Vout)/(Lout*0.000001*'Power Loss'!$B$119*'Efficiency Summary'!$B$44^2)</f>
        <v>-5.590256E-3</v>
      </c>
      <c r="L100" s="10">
        <f>2*Ron_l*0.001*'Efficiency Summary'!$B$46*'Efficiency Summary'!$B$44*(Vin-Vout)/(3*Vin)</f>
        <v>-2.380952380952382E-3</v>
      </c>
      <c r="M100" s="10">
        <f>+'Power Loss'!$B$107*0.000000001*Vin^2*2*'Efficiency Summary'!B100*Vout*(Vin-Vout)/(Lout*0.000001*'Power Loss'!$B$119*'Efficiency Summary'!$B$44^2)</f>
        <v>-5.590256E-3</v>
      </c>
      <c r="N100" s="10">
        <f>+$K$44*$K$45*0.000000001*2*B100*Vout*(Vin-Vout)/('Efficiency Summary'!$B$44^2*Lout*0.000001*Vin)</f>
        <v>-2.2282589285714288E-3</v>
      </c>
      <c r="O100" s="10">
        <f t="shared" si="14"/>
        <v>3.6486111111111116E-4</v>
      </c>
      <c r="P100" s="10">
        <f t="shared" si="11"/>
        <v>5.9367000000000003E-2</v>
      </c>
      <c r="Q100" s="28">
        <v>109.19853876012814</v>
      </c>
      <c r="R100" s="10"/>
      <c r="S100" s="10"/>
      <c r="T100" s="10"/>
    </row>
    <row r="101" spans="1:20" s="18" customFormat="1" ht="12.9" customHeight="1" x14ac:dyDescent="0.25">
      <c r="A101" s="10">
        <f t="shared" si="15"/>
        <v>67</v>
      </c>
      <c r="B101" s="10">
        <f t="shared" si="12"/>
        <v>0.67665000000000008</v>
      </c>
      <c r="C101" s="28">
        <f t="shared" si="6"/>
        <v>-1.9999999999999999E-6</v>
      </c>
      <c r="D101" s="28">
        <f t="shared" si="7"/>
        <v>5.2631578947368416E-7</v>
      </c>
      <c r="E101" s="28">
        <f t="shared" si="16"/>
        <v>-678571.42857142852</v>
      </c>
      <c r="F101" s="28">
        <f t="shared" si="8"/>
        <v>0.25590032456140577</v>
      </c>
      <c r="G101" s="28">
        <f>+DCR*0.001*2*'Efficiency Summary'!B101*'Efficiency Summary'!$B$44/3</f>
        <v>1.0826400000000002E-2</v>
      </c>
      <c r="H101" s="28">
        <f t="shared" si="13"/>
        <v>2.7066000000000004E-3</v>
      </c>
      <c r="I101" s="10">
        <f>2*Ron_u*0.001*'Efficiency Summary'!B101*'Efficiency Summary'!$B$44*Vout/(3*Vin)</f>
        <v>3.0610357142857154E-2</v>
      </c>
      <c r="J101" s="28">
        <f>+B101*(Vout*(Vin-Vout)/('Efficiency Summary'!$B$44*Lout*0.000001))*'Power Loss'!$B$92*0.000000001</f>
        <v>-5.142540000000001E-3</v>
      </c>
      <c r="K101" s="10">
        <f>+'Power Loss'!$B$89*0.000000001*Vin^2*2*'Efficiency Summary'!B101*Vout*(Vin-Vout)/(Lout*0.000001*'Power Loss'!$B$119*'Efficiency Summary'!$B$44^2)</f>
        <v>-5.7596448000000007E-3</v>
      </c>
      <c r="L101" s="10">
        <f>2*Ron_l*0.001*'Efficiency Summary'!$B$46*'Efficiency Summary'!$B$44*(Vin-Vout)/(3*Vin)</f>
        <v>-2.380952380952382E-3</v>
      </c>
      <c r="M101" s="10">
        <f>+'Power Loss'!$B$107*0.000000001*Vin^2*2*'Efficiency Summary'!B101*Vout*(Vin-Vout)/(Lout*0.000001*'Power Loss'!$B$119*'Efficiency Summary'!$B$44^2)</f>
        <v>-5.7596448000000007E-3</v>
      </c>
      <c r="N101" s="10">
        <f>+$K$44*$K$45*0.000000001*2*B101*Vout*(Vin-Vout)/('Efficiency Summary'!$B$44^2*Lout*0.000001*Vin)</f>
        <v>-2.295776785714286E-3</v>
      </c>
      <c r="O101" s="10">
        <f t="shared" si="14"/>
        <v>3.7591666666666671E-4</v>
      </c>
      <c r="P101" s="10">
        <f t="shared" si="11"/>
        <v>6.1038600000000005E-2</v>
      </c>
      <c r="Q101" s="28">
        <v>109.18159788730213</v>
      </c>
      <c r="R101" s="10"/>
      <c r="S101" s="10"/>
      <c r="T101" s="10"/>
    </row>
    <row r="102" spans="1:20" s="18" customFormat="1" ht="12.9" customHeight="1" x14ac:dyDescent="0.25">
      <c r="A102" s="10">
        <f t="shared" si="15"/>
        <v>69</v>
      </c>
      <c r="B102" s="10">
        <f t="shared" si="12"/>
        <v>0.69655</v>
      </c>
      <c r="C102" s="28">
        <f t="shared" si="6"/>
        <v>-1.9999999999999999E-6</v>
      </c>
      <c r="D102" s="28">
        <f t="shared" si="7"/>
        <v>5.2631578947368416E-7</v>
      </c>
      <c r="E102" s="28">
        <f t="shared" si="16"/>
        <v>-678571.42857142852</v>
      </c>
      <c r="F102" s="28">
        <f t="shared" si="8"/>
        <v>0.2472141491228092</v>
      </c>
      <c r="G102" s="28">
        <f>+DCR*0.001*2*'Efficiency Summary'!B102*'Efficiency Summary'!$B$44/3</f>
        <v>1.1144800000000002E-2</v>
      </c>
      <c r="H102" s="28">
        <f t="shared" si="13"/>
        <v>2.7862000000000004E-3</v>
      </c>
      <c r="I102" s="10">
        <f>2*Ron_u*0.001*'Efficiency Summary'!B102*'Efficiency Summary'!$B$44*Vout/(3*Vin)</f>
        <v>3.1510595238095247E-2</v>
      </c>
      <c r="J102" s="28">
        <f>+B102*(Vout*(Vin-Vout)/('Efficiency Summary'!$B$44*Lout*0.000001))*'Power Loss'!$B$92*0.000000001</f>
        <v>-5.2937800000000005E-3</v>
      </c>
      <c r="K102" s="10">
        <f>+'Power Loss'!$B$89*0.000000001*Vin^2*2*'Efficiency Summary'!B102*Vout*(Vin-Vout)/(Lout*0.000001*'Power Loss'!$B$119*'Efficiency Summary'!$B$44^2)</f>
        <v>-5.9290336000000004E-3</v>
      </c>
      <c r="L102" s="10">
        <f>2*Ron_l*0.001*'Efficiency Summary'!$B$46*'Efficiency Summary'!$B$44*(Vin-Vout)/(3*Vin)</f>
        <v>-2.380952380952382E-3</v>
      </c>
      <c r="M102" s="10">
        <f>+'Power Loss'!$B$107*0.000000001*Vin^2*2*'Efficiency Summary'!B102*Vout*(Vin-Vout)/(Lout*0.000001*'Power Loss'!$B$119*'Efficiency Summary'!$B$44^2)</f>
        <v>-5.9290336000000004E-3</v>
      </c>
      <c r="N102" s="10">
        <f>+$K$44*$K$45*0.000000001*2*B102*Vout*(Vin-Vout)/('Efficiency Summary'!$B$44^2*Lout*0.000001*Vin)</f>
        <v>-2.3632946428571431E-3</v>
      </c>
      <c r="O102" s="10">
        <f t="shared" si="14"/>
        <v>3.8697222222222225E-4</v>
      </c>
      <c r="P102" s="10">
        <f t="shared" si="11"/>
        <v>6.2710200000000008E-2</v>
      </c>
      <c r="Q102" s="28">
        <v>109.16562980858257</v>
      </c>
      <c r="R102" s="10"/>
      <c r="S102" s="10"/>
      <c r="T102" s="10"/>
    </row>
    <row r="103" spans="1:20" s="18" customFormat="1" ht="12.9" customHeight="1" x14ac:dyDescent="0.25">
      <c r="A103" s="10">
        <f t="shared" si="15"/>
        <v>71</v>
      </c>
      <c r="B103" s="10">
        <f t="shared" si="12"/>
        <v>0.71645000000000003</v>
      </c>
      <c r="C103" s="28">
        <f t="shared" si="6"/>
        <v>-1.9999999999999999E-6</v>
      </c>
      <c r="D103" s="28">
        <f t="shared" si="7"/>
        <v>5.2631578947368416E-7</v>
      </c>
      <c r="E103" s="28">
        <f t="shared" si="16"/>
        <v>-678571.42857142852</v>
      </c>
      <c r="F103" s="28">
        <f t="shared" si="8"/>
        <v>0.23760163450292607</v>
      </c>
      <c r="G103" s="28">
        <f>+DCR*0.001*2*'Efficiency Summary'!B103*'Efficiency Summary'!$B$44/3</f>
        <v>1.14632E-2</v>
      </c>
      <c r="H103" s="28">
        <f t="shared" si="13"/>
        <v>2.8657999999999999E-3</v>
      </c>
      <c r="I103" s="10">
        <f>2*Ron_u*0.001*'Efficiency Summary'!B103*'Efficiency Summary'!$B$44*Vout/(3*Vin)</f>
        <v>3.2410833333333333E-2</v>
      </c>
      <c r="J103" s="28">
        <f>+B103*(Vout*(Vin-Vout)/('Efficiency Summary'!$B$44*Lout*0.000001))*'Power Loss'!$B$92*0.000000001</f>
        <v>-5.4450200000000001E-3</v>
      </c>
      <c r="K103" s="10">
        <f>+'Power Loss'!$B$89*0.000000001*Vin^2*2*'Efficiency Summary'!B103*Vout*(Vin-Vout)/(Lout*0.000001*'Power Loss'!$B$119*'Efficiency Summary'!$B$44^2)</f>
        <v>-6.0984224000000002E-3</v>
      </c>
      <c r="L103" s="10">
        <f>2*Ron_l*0.001*'Efficiency Summary'!$B$46*'Efficiency Summary'!$B$44*(Vin-Vout)/(3*Vin)</f>
        <v>-2.380952380952382E-3</v>
      </c>
      <c r="M103" s="10">
        <f>+'Power Loss'!$B$107*0.000000001*Vin^2*2*'Efficiency Summary'!B103*Vout*(Vin-Vout)/(Lout*0.000001*'Power Loss'!$B$119*'Efficiency Summary'!$B$44^2)</f>
        <v>-6.0984224000000002E-3</v>
      </c>
      <c r="N103" s="10">
        <f>+$K$44*$K$45*0.000000001*2*B103*Vout*(Vin-Vout)/('Efficiency Summary'!$B$44^2*Lout*0.000001*Vin)</f>
        <v>-2.4308125000000002E-3</v>
      </c>
      <c r="O103" s="10">
        <f t="shared" si="14"/>
        <v>3.980277777777778E-4</v>
      </c>
      <c r="P103" s="10">
        <f t="shared" si="11"/>
        <v>6.4381800000000003E-2</v>
      </c>
      <c r="Q103" s="28">
        <v>109.15055307159226</v>
      </c>
      <c r="R103" s="10"/>
      <c r="S103" s="10"/>
      <c r="T103" s="10"/>
    </row>
    <row r="104" spans="1:20" s="18" customFormat="1" ht="12.9" customHeight="1" x14ac:dyDescent="0.25">
      <c r="A104" s="10">
        <f t="shared" si="15"/>
        <v>73</v>
      </c>
      <c r="B104" s="10">
        <f t="shared" si="12"/>
        <v>0.73635000000000006</v>
      </c>
      <c r="C104" s="28">
        <f t="shared" si="6"/>
        <v>-1.9999999999999999E-6</v>
      </c>
      <c r="D104" s="28">
        <f t="shared" si="7"/>
        <v>5.2631578947368416E-7</v>
      </c>
      <c r="E104" s="28">
        <f t="shared" si="16"/>
        <v>-678571.42857142852</v>
      </c>
      <c r="F104" s="28">
        <f t="shared" si="8"/>
        <v>0.22706278070175637</v>
      </c>
      <c r="G104" s="28">
        <f>+DCR*0.001*2*'Efficiency Summary'!B104*'Efficiency Summary'!$B$44/3</f>
        <v>1.1781600000000001E-2</v>
      </c>
      <c r="H104" s="28">
        <f t="shared" si="13"/>
        <v>2.9454000000000004E-3</v>
      </c>
      <c r="I104" s="10">
        <f>2*Ron_u*0.001*'Efficiency Summary'!B104*'Efficiency Summary'!$B$44*Vout/(3*Vin)</f>
        <v>3.331107142857144E-2</v>
      </c>
      <c r="J104" s="28">
        <f>+B104*(Vout*(Vin-Vout)/('Efficiency Summary'!$B$44*Lout*0.000001))*'Power Loss'!$B$92*0.000000001</f>
        <v>-5.5962600000000005E-3</v>
      </c>
      <c r="K104" s="10">
        <f>+'Power Loss'!$B$89*0.000000001*Vin^2*2*'Efficiency Summary'!B104*Vout*(Vin-Vout)/(Lout*0.000001*'Power Loss'!$B$119*'Efficiency Summary'!$B$44^2)</f>
        <v>-6.2678112000000008E-3</v>
      </c>
      <c r="L104" s="10">
        <f>2*Ron_l*0.001*'Efficiency Summary'!$B$46*'Efficiency Summary'!$B$44*(Vin-Vout)/(3*Vin)</f>
        <v>-2.380952380952382E-3</v>
      </c>
      <c r="M104" s="10">
        <f>+'Power Loss'!$B$107*0.000000001*Vin^2*2*'Efficiency Summary'!B104*Vout*(Vin-Vout)/(Lout*0.000001*'Power Loss'!$B$119*'Efficiency Summary'!$B$44^2)</f>
        <v>-6.2678112000000008E-3</v>
      </c>
      <c r="N104" s="10">
        <f>+$K$44*$K$45*0.000000001*2*B104*Vout*(Vin-Vout)/('Efficiency Summary'!$B$44^2*Lout*0.000001*Vin)</f>
        <v>-2.4983303571428574E-3</v>
      </c>
      <c r="O104" s="10">
        <f t="shared" si="14"/>
        <v>4.090833333333334E-4</v>
      </c>
      <c r="P104" s="10">
        <f t="shared" si="11"/>
        <v>6.6053399999999998E-2</v>
      </c>
      <c r="Q104" s="28">
        <v>109.13629507042768</v>
      </c>
      <c r="R104" s="10"/>
      <c r="S104" s="10"/>
      <c r="T104" s="10"/>
    </row>
    <row r="105" spans="1:20" s="18" customFormat="1" ht="12.9" customHeight="1" x14ac:dyDescent="0.25">
      <c r="A105" s="10">
        <f t="shared" si="15"/>
        <v>75</v>
      </c>
      <c r="B105" s="10">
        <f t="shared" si="12"/>
        <v>0.75625000000000009</v>
      </c>
      <c r="C105" s="28">
        <f t="shared" si="6"/>
        <v>-1.9999999999999999E-6</v>
      </c>
      <c r="D105" s="28">
        <f t="shared" si="7"/>
        <v>5.2631578947368416E-7</v>
      </c>
      <c r="E105" s="28">
        <f t="shared" si="16"/>
        <v>-678571.42857142852</v>
      </c>
      <c r="F105" s="28">
        <f t="shared" si="8"/>
        <v>0.2155975877193001</v>
      </c>
      <c r="G105" s="28">
        <f>+DCR*0.001*2*'Efficiency Summary'!B105*'Efficiency Summary'!$B$44/3</f>
        <v>1.2100000000000001E-2</v>
      </c>
      <c r="H105" s="28">
        <f t="shared" si="13"/>
        <v>3.0250000000000003E-3</v>
      </c>
      <c r="I105" s="10">
        <f>2*Ron_u*0.001*'Efficiency Summary'!B105*'Efficiency Summary'!$B$44*Vout/(3*Vin)</f>
        <v>3.4211309523809533E-2</v>
      </c>
      <c r="J105" s="28">
        <f>+B105*(Vout*(Vin-Vout)/('Efficiency Summary'!$B$44*Lout*0.000001))*'Power Loss'!$B$92*0.000000001</f>
        <v>-5.7475000000000009E-3</v>
      </c>
      <c r="K105" s="10">
        <f>+'Power Loss'!$B$89*0.000000001*Vin^2*2*'Efficiency Summary'!B105*Vout*(Vin-Vout)/(Lout*0.000001*'Power Loss'!$B$119*'Efficiency Summary'!$B$44^2)</f>
        <v>-6.4372000000000006E-3</v>
      </c>
      <c r="L105" s="10">
        <f>2*Ron_l*0.001*'Efficiency Summary'!$B$46*'Efficiency Summary'!$B$44*(Vin-Vout)/(3*Vin)</f>
        <v>-2.380952380952382E-3</v>
      </c>
      <c r="M105" s="10">
        <f>+'Power Loss'!$B$107*0.000000001*Vin^2*2*'Efficiency Summary'!B105*Vout*(Vin-Vout)/(Lout*0.000001*'Power Loss'!$B$119*'Efficiency Summary'!$B$44^2)</f>
        <v>-6.4372000000000006E-3</v>
      </c>
      <c r="N105" s="10">
        <f>+$K$44*$K$45*0.000000001*2*B105*Vout*(Vin-Vout)/('Efficiency Summary'!$B$44^2*Lout*0.000001*Vin)</f>
        <v>-2.5658482142857145E-3</v>
      </c>
      <c r="O105" s="10">
        <f t="shared" si="14"/>
        <v>4.2013888888888895E-4</v>
      </c>
      <c r="P105" s="10">
        <f t="shared" si="11"/>
        <v>6.7724999999999994E-2</v>
      </c>
      <c r="Q105" s="28">
        <v>109.12279087639732</v>
      </c>
      <c r="R105" s="10"/>
      <c r="S105" s="10"/>
      <c r="T105" s="10"/>
    </row>
    <row r="106" spans="1:20" s="18" customFormat="1" ht="12.9" customHeight="1" x14ac:dyDescent="0.25">
      <c r="A106" s="10">
        <f t="shared" si="15"/>
        <v>77</v>
      </c>
      <c r="B106" s="10">
        <f t="shared" si="12"/>
        <v>0.77615000000000001</v>
      </c>
      <c r="C106" s="28">
        <f t="shared" si="6"/>
        <v>-1.9999999999999999E-6</v>
      </c>
      <c r="D106" s="28">
        <f t="shared" si="7"/>
        <v>5.2631578947368416E-7</v>
      </c>
      <c r="E106" s="28">
        <f t="shared" si="16"/>
        <v>-678571.42857142852</v>
      </c>
      <c r="F106" s="28">
        <f t="shared" si="8"/>
        <v>0.20320605555555735</v>
      </c>
      <c r="G106" s="28">
        <f>+DCR*0.001*2*'Efficiency Summary'!B106*'Efficiency Summary'!$B$44/3</f>
        <v>1.2418400000000001E-2</v>
      </c>
      <c r="H106" s="28">
        <f t="shared" si="13"/>
        <v>3.1046000000000003E-3</v>
      </c>
      <c r="I106" s="10">
        <f>2*Ron_u*0.001*'Efficiency Summary'!B106*'Efficiency Summary'!$B$44*Vout/(3*Vin)</f>
        <v>3.5111547619047626E-2</v>
      </c>
      <c r="J106" s="28">
        <f>+B106*(Vout*(Vin-Vout)/('Efficiency Summary'!$B$44*Lout*0.000001))*'Power Loss'!$B$92*0.000000001</f>
        <v>-5.8987400000000004E-3</v>
      </c>
      <c r="K106" s="10">
        <f>+'Power Loss'!$B$89*0.000000001*Vin^2*2*'Efficiency Summary'!B106*Vout*(Vin-Vout)/(Lout*0.000001*'Power Loss'!$B$119*'Efficiency Summary'!$B$44^2)</f>
        <v>-6.6065887999999994E-3</v>
      </c>
      <c r="L106" s="10">
        <f>2*Ron_l*0.001*'Efficiency Summary'!$B$46*'Efficiency Summary'!$B$44*(Vin-Vout)/(3*Vin)</f>
        <v>-2.380952380952382E-3</v>
      </c>
      <c r="M106" s="10">
        <f>+'Power Loss'!$B$107*0.000000001*Vin^2*2*'Efficiency Summary'!B106*Vout*(Vin-Vout)/(Lout*0.000001*'Power Loss'!$B$119*'Efficiency Summary'!$B$44^2)</f>
        <v>-6.6065887999999994E-3</v>
      </c>
      <c r="N106" s="10">
        <f>+$K$44*$K$45*0.000000001*2*B106*Vout*(Vin-Vout)/('Efficiency Summary'!$B$44^2*Lout*0.000001*Vin)</f>
        <v>-2.6333660714285712E-3</v>
      </c>
      <c r="O106" s="10">
        <f t="shared" si="14"/>
        <v>4.3119444444444444E-4</v>
      </c>
      <c r="P106" s="10">
        <f t="shared" si="11"/>
        <v>6.9396600000000003E-2</v>
      </c>
      <c r="Q106" s="28">
        <v>109.10998224943684</v>
      </c>
      <c r="R106" s="10"/>
      <c r="S106" s="10"/>
      <c r="T106" s="10"/>
    </row>
    <row r="107" spans="1:20" s="18" customFormat="1" ht="12.9" customHeight="1" x14ac:dyDescent="0.25">
      <c r="A107" s="10">
        <f t="shared" si="15"/>
        <v>79</v>
      </c>
      <c r="B107" s="10">
        <f t="shared" si="12"/>
        <v>0.79605000000000004</v>
      </c>
      <c r="C107" s="28">
        <f t="shared" si="6"/>
        <v>-1.9999999999999999E-6</v>
      </c>
      <c r="D107" s="28">
        <f t="shared" si="7"/>
        <v>5.2631578947368416E-7</v>
      </c>
      <c r="E107" s="28">
        <f t="shared" si="16"/>
        <v>-678571.42857142852</v>
      </c>
      <c r="F107" s="28">
        <f t="shared" si="8"/>
        <v>0.18988818421052797</v>
      </c>
      <c r="G107" s="28">
        <f>+DCR*0.001*2*'Efficiency Summary'!B107*'Efficiency Summary'!$B$44/3</f>
        <v>1.2736800000000001E-2</v>
      </c>
      <c r="H107" s="28">
        <f t="shared" si="13"/>
        <v>3.1842000000000003E-3</v>
      </c>
      <c r="I107" s="10">
        <f>2*Ron_u*0.001*'Efficiency Summary'!B107*'Efficiency Summary'!$B$44*Vout/(3*Vin)</f>
        <v>3.6011785714285725E-2</v>
      </c>
      <c r="J107" s="28">
        <f>+B107*(Vout*(Vin-Vout)/('Efficiency Summary'!$B$44*Lout*0.000001))*'Power Loss'!$B$92*0.000000001</f>
        <v>-6.0499800000000008E-3</v>
      </c>
      <c r="K107" s="10">
        <f>+'Power Loss'!$B$89*0.000000001*Vin^2*2*'Efficiency Summary'!B107*Vout*(Vin-Vout)/(Lout*0.000001*'Power Loss'!$B$119*'Efficiency Summary'!$B$44^2)</f>
        <v>-6.7759776000000009E-3</v>
      </c>
      <c r="L107" s="10">
        <f>2*Ron_l*0.001*'Efficiency Summary'!$B$46*'Efficiency Summary'!$B$44*(Vin-Vout)/(3*Vin)</f>
        <v>-2.380952380952382E-3</v>
      </c>
      <c r="M107" s="10">
        <f>+'Power Loss'!$B$107*0.000000001*Vin^2*2*'Efficiency Summary'!B107*Vout*(Vin-Vout)/(Lout*0.000001*'Power Loss'!$B$119*'Efficiency Summary'!$B$44^2)</f>
        <v>-6.7759776000000009E-3</v>
      </c>
      <c r="N107" s="10">
        <f>+$K$44*$K$45*0.000000001*2*B107*Vout*(Vin-Vout)/('Efficiency Summary'!$B$44^2*Lout*0.000001*Vin)</f>
        <v>-2.7008839285714284E-3</v>
      </c>
      <c r="O107" s="10">
        <f t="shared" si="14"/>
        <v>4.4225000000000004E-4</v>
      </c>
      <c r="P107" s="10">
        <f t="shared" si="11"/>
        <v>7.1068199999999998E-2</v>
      </c>
      <c r="Q107" s="28">
        <v>109.09781679844761</v>
      </c>
      <c r="R107" s="10"/>
      <c r="S107" s="10"/>
      <c r="T107" s="10"/>
    </row>
    <row r="108" spans="1:20" s="18" customFormat="1" ht="12.9" customHeight="1" x14ac:dyDescent="0.25">
      <c r="A108" s="10">
        <f t="shared" si="15"/>
        <v>81</v>
      </c>
      <c r="B108" s="10">
        <f t="shared" si="12"/>
        <v>0.81595000000000006</v>
      </c>
      <c r="C108" s="28">
        <f t="shared" si="6"/>
        <v>-1.9999999999999999E-6</v>
      </c>
      <c r="D108" s="28">
        <f t="shared" si="7"/>
        <v>5.2631578947368416E-7</v>
      </c>
      <c r="E108" s="28">
        <f t="shared" si="16"/>
        <v>-678571.42857142852</v>
      </c>
      <c r="F108" s="28">
        <f t="shared" si="8"/>
        <v>0.17564397368421203</v>
      </c>
      <c r="G108" s="28">
        <f>+DCR*0.001*2*'Efficiency Summary'!B108*'Efficiency Summary'!$B$44/3</f>
        <v>1.3055200000000001E-2</v>
      </c>
      <c r="H108" s="28">
        <f t="shared" si="13"/>
        <v>3.2638000000000003E-3</v>
      </c>
      <c r="I108" s="10">
        <f>2*Ron_u*0.001*'Efficiency Summary'!B108*'Efficiency Summary'!$B$44*Vout/(3*Vin)</f>
        <v>3.6912023809523818E-2</v>
      </c>
      <c r="J108" s="28">
        <f>+B108*(Vout*(Vin-Vout)/('Efficiency Summary'!$B$44*Lout*0.000001))*'Power Loss'!$B$92*0.000000001</f>
        <v>-6.2012200000000012E-3</v>
      </c>
      <c r="K108" s="10">
        <f>+'Power Loss'!$B$89*0.000000001*Vin^2*2*'Efficiency Summary'!B108*Vout*(Vin-Vout)/(Lout*0.000001*'Power Loss'!$B$119*'Efficiency Summary'!$B$44^2)</f>
        <v>-6.9453664000000007E-3</v>
      </c>
      <c r="L108" s="10">
        <f>2*Ron_l*0.001*'Efficiency Summary'!$B$46*'Efficiency Summary'!$B$44*(Vin-Vout)/(3*Vin)</f>
        <v>-2.380952380952382E-3</v>
      </c>
      <c r="M108" s="10">
        <f>+'Power Loss'!$B$107*0.000000001*Vin^2*2*'Efficiency Summary'!B108*Vout*(Vin-Vout)/(Lout*0.000001*'Power Loss'!$B$119*'Efficiency Summary'!$B$44^2)</f>
        <v>-6.9453664000000007E-3</v>
      </c>
      <c r="N108" s="10">
        <f>+$K$44*$K$45*0.000000001*2*B108*Vout*(Vin-Vout)/('Efficiency Summary'!$B$44^2*Lout*0.000001*Vin)</f>
        <v>-2.7684017857142864E-3</v>
      </c>
      <c r="O108" s="10">
        <f t="shared" si="14"/>
        <v>4.5330555555555554E-4</v>
      </c>
      <c r="P108" s="10">
        <f t="shared" si="11"/>
        <v>7.2739800000000007E-2</v>
      </c>
      <c r="Q108" s="28">
        <v>109.08624726502615</v>
      </c>
      <c r="R108" s="10"/>
      <c r="S108" s="10"/>
      <c r="T108" s="10"/>
    </row>
    <row r="109" spans="1:20" s="18" customFormat="1" ht="12.9" customHeight="1" x14ac:dyDescent="0.25">
      <c r="A109" s="10">
        <f t="shared" si="15"/>
        <v>83</v>
      </c>
      <c r="B109" s="10">
        <f t="shared" si="12"/>
        <v>0.83585000000000009</v>
      </c>
      <c r="C109" s="28">
        <f t="shared" si="6"/>
        <v>-1.9999999999999999E-6</v>
      </c>
      <c r="D109" s="28">
        <f t="shared" si="7"/>
        <v>5.2631578947368416E-7</v>
      </c>
      <c r="E109" s="28">
        <f t="shared" si="16"/>
        <v>-678571.42857142852</v>
      </c>
      <c r="F109" s="28">
        <f t="shared" si="8"/>
        <v>0.16047342397660952</v>
      </c>
      <c r="G109" s="28">
        <f>+DCR*0.001*2*'Efficiency Summary'!B109*'Efficiency Summary'!$B$44/3</f>
        <v>1.3373600000000001E-2</v>
      </c>
      <c r="H109" s="28">
        <f t="shared" si="13"/>
        <v>3.3434000000000003E-3</v>
      </c>
      <c r="I109" s="10">
        <f>2*Ron_u*0.001*'Efficiency Summary'!B109*'Efficiency Summary'!$B$44*Vout/(3*Vin)</f>
        <v>3.7812261904761918E-2</v>
      </c>
      <c r="J109" s="28">
        <f>+B109*(Vout*(Vin-Vout)/('Efficiency Summary'!$B$44*Lout*0.000001))*'Power Loss'!$B$92*0.000000001</f>
        <v>-6.3524600000000016E-3</v>
      </c>
      <c r="K109" s="10">
        <f>+'Power Loss'!$B$89*0.000000001*Vin^2*2*'Efficiency Summary'!B109*Vout*(Vin-Vout)/(Lout*0.000001*'Power Loss'!$B$119*'Efficiency Summary'!$B$44^2)</f>
        <v>-7.1147552000000013E-3</v>
      </c>
      <c r="L109" s="10">
        <f>2*Ron_l*0.001*'Efficiency Summary'!$B$46*'Efficiency Summary'!$B$44*(Vin-Vout)/(3*Vin)</f>
        <v>-2.380952380952382E-3</v>
      </c>
      <c r="M109" s="10">
        <f>+'Power Loss'!$B$107*0.000000001*Vin^2*2*'Efficiency Summary'!B109*Vout*(Vin-Vout)/(Lout*0.000001*'Power Loss'!$B$119*'Efficiency Summary'!$B$44^2)</f>
        <v>-7.1147552000000013E-3</v>
      </c>
      <c r="N109" s="10">
        <f>+$K$44*$K$45*0.000000001*2*B109*Vout*(Vin-Vout)/('Efficiency Summary'!$B$44^2*Lout*0.000001*Vin)</f>
        <v>-2.8359196428571435E-3</v>
      </c>
      <c r="O109" s="10">
        <f t="shared" si="14"/>
        <v>4.6436111111111119E-4</v>
      </c>
      <c r="P109" s="10">
        <f t="shared" si="11"/>
        <v>7.4411400000000016E-2</v>
      </c>
      <c r="Q109" s="28">
        <v>109.07523090993571</v>
      </c>
      <c r="R109" s="10"/>
      <c r="S109" s="10"/>
      <c r="T109" s="10"/>
    </row>
    <row r="110" spans="1:20" s="18" customFormat="1" ht="12.9" customHeight="1" x14ac:dyDescent="0.25">
      <c r="A110" s="10">
        <f t="shared" si="15"/>
        <v>85</v>
      </c>
      <c r="B110" s="10">
        <f t="shared" si="12"/>
        <v>0.85575000000000001</v>
      </c>
      <c r="C110" s="28">
        <f t="shared" si="6"/>
        <v>-1.9999999999999999E-6</v>
      </c>
      <c r="D110" s="28">
        <f t="shared" si="7"/>
        <v>5.2631578947368416E-7</v>
      </c>
      <c r="E110" s="28">
        <f t="shared" si="16"/>
        <v>-678571.42857142852</v>
      </c>
      <c r="F110" s="28">
        <f t="shared" si="8"/>
        <v>0.14437653508772055</v>
      </c>
      <c r="G110" s="28">
        <f>+DCR*0.001*2*'Efficiency Summary'!B110*'Efficiency Summary'!$B$44/3</f>
        <v>1.3692000000000001E-2</v>
      </c>
      <c r="H110" s="28">
        <f t="shared" si="13"/>
        <v>3.4230000000000003E-3</v>
      </c>
      <c r="I110" s="10">
        <f>2*Ron_u*0.001*'Efficiency Summary'!B110*'Efficiency Summary'!$B$44*Vout/(3*Vin)</f>
        <v>3.8712500000000011E-2</v>
      </c>
      <c r="J110" s="28">
        <f>+B110*(Vout*(Vin-Vout)/('Efficiency Summary'!$B$44*Lout*0.000001))*'Power Loss'!$B$92*0.000000001</f>
        <v>-6.5037000000000003E-3</v>
      </c>
      <c r="K110" s="10">
        <f>+'Power Loss'!$B$89*0.000000001*Vin^2*2*'Efficiency Summary'!B110*Vout*(Vin-Vout)/(Lout*0.000001*'Power Loss'!$B$119*'Efficiency Summary'!$B$44^2)</f>
        <v>-7.2841440000000002E-3</v>
      </c>
      <c r="L110" s="10">
        <f>2*Ron_l*0.001*'Efficiency Summary'!$B$46*'Efficiency Summary'!$B$44*(Vin-Vout)/(3*Vin)</f>
        <v>-2.380952380952382E-3</v>
      </c>
      <c r="M110" s="10">
        <f>+'Power Loss'!$B$107*0.000000001*Vin^2*2*'Efficiency Summary'!B110*Vout*(Vin-Vout)/(Lout*0.000001*'Power Loss'!$B$119*'Efficiency Summary'!$B$44^2)</f>
        <v>-7.2841440000000002E-3</v>
      </c>
      <c r="N110" s="10">
        <f>+$K$44*$K$45*0.000000001*2*B110*Vout*(Vin-Vout)/('Efficiency Summary'!$B$44^2*Lout*0.000001*Vin)</f>
        <v>-2.9034375000000002E-3</v>
      </c>
      <c r="O110" s="10">
        <f t="shared" si="14"/>
        <v>4.7541666666666674E-4</v>
      </c>
      <c r="P110" s="10">
        <f t="shared" si="11"/>
        <v>7.6082999999999998E-2</v>
      </c>
      <c r="Q110" s="28">
        <v>109.0647289855274</v>
      </c>
      <c r="R110" s="10"/>
      <c r="S110" s="10"/>
      <c r="T110" s="10"/>
    </row>
    <row r="111" spans="1:20" s="18" customFormat="1" ht="12.9" customHeight="1" x14ac:dyDescent="0.25">
      <c r="A111" s="10">
        <f t="shared" si="15"/>
        <v>87</v>
      </c>
      <c r="B111" s="10">
        <f>+$B$44/2</f>
        <v>1</v>
      </c>
      <c r="C111" s="28">
        <f t="shared" si="6"/>
        <v>-1.9999999999999999E-6</v>
      </c>
      <c r="D111" s="28">
        <f t="shared" si="7"/>
        <v>5.2631578947368416E-7</v>
      </c>
      <c r="E111" s="28">
        <f t="shared" si="16"/>
        <v>-678571.42857142852</v>
      </c>
      <c r="F111" s="28">
        <f t="shared" si="8"/>
        <v>0</v>
      </c>
      <c r="G111" s="28">
        <f>+DCR*0.001*2*'Efficiency Summary'!B111*'Efficiency Summary'!$B$44/3</f>
        <v>1.6E-2</v>
      </c>
      <c r="H111" s="28">
        <f t="shared" si="13"/>
        <v>4.0000000000000001E-3</v>
      </c>
      <c r="I111" s="10">
        <f>2*Ron_u*0.001*'Efficiency Summary'!B111*'Efficiency Summary'!$B$44*Vout/(3*Vin)</f>
        <v>4.5238095238095244E-2</v>
      </c>
      <c r="J111" s="28">
        <f>+B111*(Vout*(Vin-Vout)/('Efficiency Summary'!$B$44*Lout*0.000001))*'Power Loss'!$B$92*0.000000001</f>
        <v>-7.6000000000000009E-3</v>
      </c>
      <c r="K111" s="10">
        <f>+'Power Loss'!$B$89*0.000000001*Vin^2*2*'Efficiency Summary'!B111*Vout*(Vin-Vout)/(Lout*0.000001*'Power Loss'!$B$119*'Efficiency Summary'!$B$44^2)</f>
        <v>-8.5120000000000005E-3</v>
      </c>
      <c r="L111" s="10">
        <f>2*Ron_l*0.001*'Efficiency Summary'!$B$46*'Efficiency Summary'!$B$44*(Vin-Vout)/(3*Vin)</f>
        <v>-2.380952380952382E-3</v>
      </c>
      <c r="M111" s="10">
        <f>+'Power Loss'!$B$107*0.000000001*Vin^2*2*'Efficiency Summary'!B111*Vout*(Vin-Vout)/(Lout*0.000001*'Power Loss'!$B$119*'Efficiency Summary'!$B$44^2)</f>
        <v>-8.5120000000000005E-3</v>
      </c>
      <c r="N111" s="10">
        <f>+$K$44*$K$45*0.000000001*2*B111*Vout*(Vin-Vout)/('Efficiency Summary'!$B$44^2*Lout*0.000001*Vin)</f>
        <v>-3.3928571428571428E-3</v>
      </c>
      <c r="O111" s="10">
        <f t="shared" si="14"/>
        <v>5.5555555555555556E-4</v>
      </c>
      <c r="P111" s="10">
        <f t="shared" si="11"/>
        <v>8.8200000000000001E-2</v>
      </c>
      <c r="Q111" s="28">
        <v>109.0011424901528</v>
      </c>
      <c r="R111" s="10"/>
      <c r="S111" s="10"/>
      <c r="T111" s="10"/>
    </row>
    <row r="112" spans="1:20" s="18" customFormat="1" ht="12.9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s="18" customFormat="1" ht="12.9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s="18" customFormat="1" ht="12.9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12.9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12.9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12.9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12.9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</sheetData>
  <sheetProtection algorithmName="SHA-512" hashValue="Q81AKWwHcmpsEswLdhIZnCMjZj73FvMqRvG2Wpn56CggzIuTVFShlou/yphTm9nol77AlejtVutcK7ziahDWgQ==" saltValue="vnhLy0XiqozLMCwtGVAYSQ==" spinCount="100000" sheet="1" objects="1" scenarios="1" selectLockedCells="1"/>
  <pageMargins left="0.7" right="0.7" top="0.75" bottom="0.75" header="0.3" footer="0.3"/>
  <pageSetup orientation="portrait" r:id="rId1"/>
  <ignoredErrors>
    <ignoredError sqref="B1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255D8F-EE50-485B-9C83-D6E9B574A4DF}"/>
</file>

<file path=customXml/itemProps2.xml><?xml version="1.0" encoding="utf-8"?>
<ds:datastoreItem xmlns:ds="http://schemas.openxmlformats.org/officeDocument/2006/customXml" ds:itemID="{8356F81A-D20F-4430-8BD2-44C40FC09D3D}"/>
</file>

<file path=customXml/itemProps3.xml><?xml version="1.0" encoding="utf-8"?>
<ds:datastoreItem xmlns:ds="http://schemas.openxmlformats.org/officeDocument/2006/customXml" ds:itemID="{95B78616-E63D-4806-B2F8-515A346720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21</vt:i4>
      </vt:variant>
    </vt:vector>
  </HeadingPairs>
  <TitlesOfParts>
    <vt:vector size="23" baseType="lpstr">
      <vt:lpstr>Power Loss</vt:lpstr>
      <vt:lpstr>Efficiency Summary</vt:lpstr>
      <vt:lpstr>Cap</vt:lpstr>
      <vt:lpstr>D</vt:lpstr>
      <vt:lpstr>DCR</vt:lpstr>
      <vt:lpstr>Efficiency</vt:lpstr>
      <vt:lpstr>ESR</vt:lpstr>
      <vt:lpstr>Fs</vt:lpstr>
      <vt:lpstr>Iin</vt:lpstr>
      <vt:lpstr>Il_rms</vt:lpstr>
      <vt:lpstr>Imax</vt:lpstr>
      <vt:lpstr>Imin</vt:lpstr>
      <vt:lpstr>Iout</vt:lpstr>
      <vt:lpstr>Irip</vt:lpstr>
      <vt:lpstr>Iu_rms</vt:lpstr>
      <vt:lpstr>LIR</vt:lpstr>
      <vt:lpstr>Lout</vt:lpstr>
      <vt:lpstr>ncap</vt:lpstr>
      <vt:lpstr>Ron_l</vt:lpstr>
      <vt:lpstr>Ron_u</vt:lpstr>
      <vt:lpstr>Tloss</vt:lpstr>
      <vt:lpstr>Vin</vt:lpstr>
      <vt:lpstr>Vout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 Bui/Analog/DAL</dc:creator>
  <cp:lastModifiedBy>Tu Bui</cp:lastModifiedBy>
  <dcterms:created xsi:type="dcterms:W3CDTF">2017-03-10T19:39:44Z</dcterms:created>
  <dcterms:modified xsi:type="dcterms:W3CDTF">2024-07-10T12:38:26Z</dcterms:modified>
</cp:coreProperties>
</file>