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sdx" ContentType="application/vnd.ms-visio.drawing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updateLinks="never" defaultThemeVersion="124226"/>
  <mc:AlternateContent xmlns:mc="http://schemas.openxmlformats.org/markup-compatibility/2006">
    <mc:Choice Requires="x15">
      <x15ac:absPath xmlns:x15ac="http://schemas.microsoft.com/office/spreadsheetml/2010/11/ac" url="https://diodes-my.sharepoint.com/personal/tu_bui_diodes_com/Documents/Documents/Projects/Power Cal/"/>
    </mc:Choice>
  </mc:AlternateContent>
  <xr:revisionPtr revIDLastSave="13" documentId="8_{82EC3C29-38F4-49C8-BE43-995A6636FDE0}" xr6:coauthVersionLast="47" xr6:coauthVersionMax="47" xr10:uidLastSave="{9F2826C5-82F1-476E-B10F-F5FB9B5E46E6}"/>
  <bookViews>
    <workbookView xWindow="-108" yWindow="-108" windowWidth="23256" windowHeight="14016" activeTab="1" xr2:uid="{00000000-000D-0000-FFFF-FFFF00000000}"/>
  </bookViews>
  <sheets>
    <sheet name="Power Loss" sheetId="1" r:id="rId1"/>
    <sheet name="Efficiency Summary" sheetId="2" r:id="rId2"/>
  </sheets>
  <definedNames>
    <definedName name="_Cap1">#REF!</definedName>
    <definedName name="_cap2">#REF!</definedName>
    <definedName name="_Cfb1">#REF!</definedName>
    <definedName name="_Cfb2">#REF!</definedName>
    <definedName name="_R3">#REF!</definedName>
    <definedName name="_R3_T">#REF!</definedName>
    <definedName name="_res1">#REF!</definedName>
    <definedName name="_Rfb1">#REF!</definedName>
    <definedName name="_Rfb2">#REF!</definedName>
    <definedName name="Cap">'Power Loss'!$B$32</definedName>
    <definedName name="D">'Power Loss'!$F$19</definedName>
    <definedName name="DCR">'Power Loss'!$B$28</definedName>
    <definedName name="Dmax">#REF!</definedName>
    <definedName name="EA_BW">#REF!</definedName>
    <definedName name="EA_DC">#REF!</definedName>
    <definedName name="Efficiency">'Power Loss'!$B$101</definedName>
    <definedName name="ESR">'Power Loss'!$B$33</definedName>
    <definedName name="F0">#REF!</definedName>
    <definedName name="Fc">#REF!</definedName>
    <definedName name="Fm">#REF!</definedName>
    <definedName name="Fo">#REF!</definedName>
    <definedName name="Fs">'Power Loss'!$B$18</definedName>
    <definedName name="Fstart">#REF!</definedName>
    <definedName name="Fstep">#REF!</definedName>
    <definedName name="Fstop">#REF!</definedName>
    <definedName name="Gdo">#REF!</definedName>
    <definedName name="gm">#REF!</definedName>
    <definedName name="Il_rms">'Power Loss'!$F$23</definedName>
    <definedName name="Imax">'Efficiency Summary'!$B$10</definedName>
    <definedName name="Imin">'Efficiency Summary'!$B$9</definedName>
    <definedName name="Iout">'Power Loss'!$B$21</definedName>
    <definedName name="Irip">'Power Loss'!$F$26</definedName>
    <definedName name="Iu_rms">'Power Loss'!$F$22</definedName>
    <definedName name="LIR">'Power Loss'!$B$24</definedName>
    <definedName name="Lout">'Power Loss'!$B$27</definedName>
    <definedName name="Mc">#REF!</definedName>
    <definedName name="ncap">'Power Loss'!$B$31</definedName>
    <definedName name="Q">#REF!</definedName>
    <definedName name="Qn">#REF!</definedName>
    <definedName name="Roerr">#REF!</definedName>
    <definedName name="Ron_l">'Power Loss'!$B$65</definedName>
    <definedName name="Ron_u">'Power Loss'!$B$48</definedName>
    <definedName name="Rout">'Power Loss'!$F$20</definedName>
    <definedName name="RT">#REF!</definedName>
    <definedName name="Se">#REF!</definedName>
    <definedName name="Sn">#REF!</definedName>
    <definedName name="Step">#REF!</definedName>
    <definedName name="Tloss">'Power Loss'!$B$100</definedName>
    <definedName name="VFB">#REF!</definedName>
    <definedName name="Vin">'Power Loss'!$B$19</definedName>
    <definedName name="Vout">'Power Loss'!$B$20</definedName>
    <definedName name="wn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1" i="1" l="1"/>
  <c r="A19" i="1" l="1"/>
  <c r="F37" i="1"/>
  <c r="F34" i="1"/>
  <c r="F35" i="1" s="1"/>
  <c r="B36" i="1" l="1"/>
  <c r="A20" i="1" l="1"/>
  <c r="B10" i="2" l="1"/>
  <c r="A40" i="2" s="1"/>
  <c r="A13" i="2"/>
  <c r="B82" i="1"/>
  <c r="B84" i="1" s="1"/>
  <c r="B81" i="1"/>
  <c r="B70" i="1"/>
  <c r="B77" i="1" s="1"/>
  <c r="B66" i="1"/>
  <c r="B60" i="1"/>
  <c r="B48" i="1"/>
  <c r="B53" i="1" s="1"/>
  <c r="B61" i="1" s="1"/>
  <c r="F26" i="1"/>
  <c r="B89" i="1" s="1"/>
  <c r="K31" i="1" s="1"/>
  <c r="F20" i="1"/>
  <c r="B95" i="1" l="1"/>
  <c r="K33" i="1" s="1"/>
  <c r="A38" i="2"/>
  <c r="D69" i="2" s="1"/>
  <c r="A17" i="2"/>
  <c r="D48" i="2" s="1"/>
  <c r="E48" i="2" s="1"/>
  <c r="A21" i="2"/>
  <c r="D52" i="2" s="1"/>
  <c r="E52" i="2" s="1"/>
  <c r="A30" i="2"/>
  <c r="D61" i="2" s="1"/>
  <c r="A29" i="2"/>
  <c r="D60" i="2" s="1"/>
  <c r="E60" i="2" s="1"/>
  <c r="A22" i="2"/>
  <c r="C53" i="2" s="1"/>
  <c r="A33" i="2"/>
  <c r="C64" i="2" s="1"/>
  <c r="A14" i="2"/>
  <c r="D45" i="2" s="1"/>
  <c r="A25" i="2"/>
  <c r="D56" i="2" s="1"/>
  <c r="E56" i="2" s="1"/>
  <c r="A37" i="2"/>
  <c r="D68" i="2" s="1"/>
  <c r="E68" i="2" s="1"/>
  <c r="A18" i="2"/>
  <c r="C49" i="2" s="1"/>
  <c r="A26" i="2"/>
  <c r="D57" i="2" s="1"/>
  <c r="A34" i="2"/>
  <c r="C65" i="2" s="1"/>
  <c r="A15" i="2"/>
  <c r="D46" i="2" s="1"/>
  <c r="E46" i="2" s="1"/>
  <c r="A19" i="2"/>
  <c r="D50" i="2" s="1"/>
  <c r="A23" i="2"/>
  <c r="A27" i="2"/>
  <c r="D58" i="2" s="1"/>
  <c r="A31" i="2"/>
  <c r="C62" i="2" s="1"/>
  <c r="A35" i="2"/>
  <c r="D66" i="2" s="1"/>
  <c r="A39" i="2"/>
  <c r="C70" i="2" s="1"/>
  <c r="I10" i="2"/>
  <c r="A16" i="2"/>
  <c r="D47" i="2" s="1"/>
  <c r="E47" i="2" s="1"/>
  <c r="A20" i="2"/>
  <c r="A24" i="2"/>
  <c r="A28" i="2"/>
  <c r="C59" i="2" s="1"/>
  <c r="A32" i="2"/>
  <c r="D63" i="2" s="1"/>
  <c r="E63" i="2" s="1"/>
  <c r="A36" i="2"/>
  <c r="E9" i="2"/>
  <c r="A44" i="2" s="1"/>
  <c r="D71" i="2"/>
  <c r="E71" i="2" s="1"/>
  <c r="D44" i="2"/>
  <c r="E44" i="2" s="1"/>
  <c r="H13" i="2" s="1"/>
  <c r="C44" i="2"/>
  <c r="C71" i="2"/>
  <c r="F19" i="1"/>
  <c r="B26" i="1" s="1"/>
  <c r="B52" i="1"/>
  <c r="B69" i="1"/>
  <c r="B88" i="1"/>
  <c r="L31" i="1" s="1"/>
  <c r="B75" i="1"/>
  <c r="L29" i="1" s="1"/>
  <c r="B58" i="1"/>
  <c r="B59" i="1"/>
  <c r="B98" i="1"/>
  <c r="K32" i="1" s="1"/>
  <c r="B83" i="1"/>
  <c r="C69" i="2" l="1"/>
  <c r="B44" i="2"/>
  <c r="I13" i="2" s="1"/>
  <c r="F18" i="1"/>
  <c r="E17" i="1" s="1"/>
  <c r="B74" i="1"/>
  <c r="C48" i="2"/>
  <c r="D53" i="2"/>
  <c r="E53" i="2" s="1"/>
  <c r="D64" i="2"/>
  <c r="E64" i="2" s="1"/>
  <c r="H33" i="2" s="1"/>
  <c r="C52" i="2"/>
  <c r="C61" i="2"/>
  <c r="C60" i="2"/>
  <c r="C68" i="2"/>
  <c r="C45" i="2"/>
  <c r="D49" i="2"/>
  <c r="E49" i="2" s="1"/>
  <c r="C57" i="2"/>
  <c r="D65" i="2"/>
  <c r="E65" i="2" s="1"/>
  <c r="C56" i="2"/>
  <c r="D62" i="2"/>
  <c r="E62" i="2" s="1"/>
  <c r="C63" i="2"/>
  <c r="C47" i="2"/>
  <c r="C46" i="2"/>
  <c r="A63" i="2"/>
  <c r="A57" i="2"/>
  <c r="A64" i="2"/>
  <c r="A55" i="2"/>
  <c r="A61" i="2"/>
  <c r="A71" i="2"/>
  <c r="A56" i="2"/>
  <c r="A47" i="2"/>
  <c r="A62" i="2"/>
  <c r="A46" i="2"/>
  <c r="A45" i="2"/>
  <c r="A68" i="2"/>
  <c r="A69" i="2"/>
  <c r="A60" i="2"/>
  <c r="A52" i="2"/>
  <c r="A67" i="2"/>
  <c r="A51" i="2"/>
  <c r="A53" i="2"/>
  <c r="A65" i="2"/>
  <c r="A48" i="2"/>
  <c r="A49" i="2"/>
  <c r="A54" i="2"/>
  <c r="C54" i="2"/>
  <c r="C55" i="2"/>
  <c r="C66" i="2"/>
  <c r="A66" i="2"/>
  <c r="D54" i="2"/>
  <c r="E54" i="2" s="1"/>
  <c r="D55" i="2"/>
  <c r="E55" i="2" s="1"/>
  <c r="G24" i="2" s="1"/>
  <c r="D51" i="2"/>
  <c r="E51" i="2" s="1"/>
  <c r="H20" i="2" s="1"/>
  <c r="A70" i="2"/>
  <c r="A59" i="2"/>
  <c r="D59" i="2"/>
  <c r="C58" i="2"/>
  <c r="A58" i="2"/>
  <c r="C50" i="2"/>
  <c r="A50" i="2"/>
  <c r="C67" i="2"/>
  <c r="D70" i="2"/>
  <c r="E70" i="2" s="1"/>
  <c r="C51" i="2"/>
  <c r="D67" i="2"/>
  <c r="E67" i="2" s="1"/>
  <c r="H36" i="2" s="1"/>
  <c r="G25" i="2"/>
  <c r="H25" i="2"/>
  <c r="H29" i="2"/>
  <c r="G29" i="2"/>
  <c r="H40" i="2"/>
  <c r="G40" i="2"/>
  <c r="G16" i="2"/>
  <c r="H16" i="2"/>
  <c r="G37" i="2"/>
  <c r="H37" i="2"/>
  <c r="G15" i="2"/>
  <c r="H15" i="2"/>
  <c r="F68" i="2"/>
  <c r="G17" i="2"/>
  <c r="H17" i="2"/>
  <c r="G21" i="2"/>
  <c r="H21" i="2"/>
  <c r="G32" i="2"/>
  <c r="H32" i="2"/>
  <c r="F22" i="1"/>
  <c r="B57" i="1" s="1"/>
  <c r="K28" i="1" s="1"/>
  <c r="F23" i="1"/>
  <c r="B76" i="1"/>
  <c r="F71" i="2"/>
  <c r="B90" i="1"/>
  <c r="L28" i="1"/>
  <c r="G71" i="2"/>
  <c r="G63" i="2"/>
  <c r="F60" i="2"/>
  <c r="F63" i="2"/>
  <c r="G60" i="2"/>
  <c r="F48" i="2"/>
  <c r="E57" i="2"/>
  <c r="E66" i="2"/>
  <c r="E58" i="2"/>
  <c r="G47" i="2"/>
  <c r="G68" i="2"/>
  <c r="F44" i="2"/>
  <c r="E61" i="2"/>
  <c r="F46" i="2"/>
  <c r="E69" i="2"/>
  <c r="E50" i="2"/>
  <c r="F56" i="2"/>
  <c r="F52" i="2"/>
  <c r="E45" i="2"/>
  <c r="F47" i="2"/>
  <c r="G56" i="2"/>
  <c r="G46" i="2"/>
  <c r="G48" i="2"/>
  <c r="G52" i="2"/>
  <c r="G44" i="2"/>
  <c r="L30" i="1"/>
  <c r="B85" i="1"/>
  <c r="F43" i="1" l="1"/>
  <c r="F42" i="1" s="1"/>
  <c r="G42" i="1" s="1"/>
  <c r="D13" i="2"/>
  <c r="E13" i="2"/>
  <c r="F13" i="2"/>
  <c r="G13" i="2"/>
  <c r="B50" i="2"/>
  <c r="I19" i="2" s="1"/>
  <c r="B49" i="2"/>
  <c r="F18" i="2" s="1"/>
  <c r="B51" i="2"/>
  <c r="E20" i="2" s="1"/>
  <c r="B69" i="2"/>
  <c r="E38" i="2" s="1"/>
  <c r="B62" i="2"/>
  <c r="I31" i="2" s="1"/>
  <c r="B71" i="2"/>
  <c r="F40" i="2" s="1"/>
  <c r="B57" i="2"/>
  <c r="I26" i="2" s="1"/>
  <c r="B48" i="2"/>
  <c r="D17" i="2" s="1"/>
  <c r="B67" i="2"/>
  <c r="F36" i="2" s="1"/>
  <c r="B68" i="2"/>
  <c r="F37" i="2" s="1"/>
  <c r="B47" i="2"/>
  <c r="I16" i="2" s="1"/>
  <c r="B61" i="2"/>
  <c r="F30" i="2" s="1"/>
  <c r="B63" i="2"/>
  <c r="I32" i="2" s="1"/>
  <c r="B59" i="2"/>
  <c r="E28" i="2" s="1"/>
  <c r="B65" i="2"/>
  <c r="I34" i="2" s="1"/>
  <c r="B52" i="2"/>
  <c r="I21" i="2" s="1"/>
  <c r="B45" i="2"/>
  <c r="I14" i="2" s="1"/>
  <c r="B55" i="2"/>
  <c r="E24" i="2" s="1"/>
  <c r="B58" i="2"/>
  <c r="F27" i="2" s="1"/>
  <c r="B70" i="2"/>
  <c r="F39" i="2" s="1"/>
  <c r="B66" i="2"/>
  <c r="I35" i="2" s="1"/>
  <c r="B54" i="2"/>
  <c r="E23" i="2" s="1"/>
  <c r="B53" i="2"/>
  <c r="I22" i="2" s="1"/>
  <c r="B60" i="2"/>
  <c r="D29" i="2" s="1"/>
  <c r="B46" i="2"/>
  <c r="I15" i="2" s="1"/>
  <c r="B56" i="2"/>
  <c r="D25" i="2" s="1"/>
  <c r="B64" i="2"/>
  <c r="I33" i="2" s="1"/>
  <c r="F64" i="2"/>
  <c r="G64" i="2"/>
  <c r="B78" i="1"/>
  <c r="G33" i="2"/>
  <c r="H24" i="2"/>
  <c r="G20" i="2"/>
  <c r="F51" i="2"/>
  <c r="F55" i="2"/>
  <c r="G36" i="2"/>
  <c r="G51" i="2"/>
  <c r="F67" i="2"/>
  <c r="G55" i="2"/>
  <c r="B62" i="1"/>
  <c r="G67" i="2"/>
  <c r="E59" i="2"/>
  <c r="G59" i="2" s="1"/>
  <c r="G62" i="2"/>
  <c r="H31" i="2"/>
  <c r="G31" i="2"/>
  <c r="G50" i="2"/>
  <c r="G19" i="2"/>
  <c r="H19" i="2"/>
  <c r="G49" i="2"/>
  <c r="H18" i="2"/>
  <c r="G18" i="2"/>
  <c r="F66" i="2"/>
  <c r="G35" i="2"/>
  <c r="H35" i="2"/>
  <c r="G53" i="2"/>
  <c r="G22" i="2"/>
  <c r="H22" i="2"/>
  <c r="G58" i="2"/>
  <c r="H27" i="2"/>
  <c r="G27" i="2"/>
  <c r="F57" i="2"/>
  <c r="H26" i="2"/>
  <c r="G26" i="2"/>
  <c r="G45" i="2"/>
  <c r="G14" i="2"/>
  <c r="H14" i="2"/>
  <c r="G65" i="2"/>
  <c r="G34" i="2"/>
  <c r="H34" i="2"/>
  <c r="F69" i="2"/>
  <c r="G38" i="2"/>
  <c r="H38" i="2"/>
  <c r="F61" i="2"/>
  <c r="H30" i="2"/>
  <c r="G30" i="2"/>
  <c r="G54" i="2"/>
  <c r="H23" i="2"/>
  <c r="G23" i="2"/>
  <c r="G70" i="2"/>
  <c r="H39" i="2"/>
  <c r="G39" i="2"/>
  <c r="F45" i="2"/>
  <c r="F49" i="2"/>
  <c r="K29" i="1"/>
  <c r="G61" i="2"/>
  <c r="G66" i="2"/>
  <c r="F53" i="2"/>
  <c r="F50" i="2"/>
  <c r="F65" i="2"/>
  <c r="F54" i="2"/>
  <c r="F70" i="2"/>
  <c r="F62" i="2"/>
  <c r="F58" i="2"/>
  <c r="G57" i="2"/>
  <c r="G69" i="2"/>
  <c r="E32" i="2" l="1"/>
  <c r="D26" i="2"/>
  <c r="E26" i="2"/>
  <c r="D14" i="2"/>
  <c r="D15" i="2"/>
  <c r="D35" i="2"/>
  <c r="F14" i="2"/>
  <c r="D32" i="2"/>
  <c r="F15" i="2"/>
  <c r="B13" i="2"/>
  <c r="C13" i="2" s="1"/>
  <c r="F32" i="2"/>
  <c r="E14" i="2"/>
  <c r="E39" i="2"/>
  <c r="F17" i="2"/>
  <c r="E22" i="2"/>
  <c r="D31" i="2"/>
  <c r="E16" i="2"/>
  <c r="D38" i="2"/>
  <c r="F25" i="2"/>
  <c r="E33" i="2"/>
  <c r="E31" i="2"/>
  <c r="D33" i="2"/>
  <c r="D19" i="2"/>
  <c r="F19" i="2"/>
  <c r="E19" i="2"/>
  <c r="F33" i="2"/>
  <c r="D27" i="2"/>
  <c r="E30" i="2"/>
  <c r="F20" i="2"/>
  <c r="F21" i="2"/>
  <c r="E15" i="2"/>
  <c r="F35" i="2"/>
  <c r="E35" i="2"/>
  <c r="E21" i="2"/>
  <c r="D36" i="2"/>
  <c r="F31" i="2"/>
  <c r="D24" i="2"/>
  <c r="E36" i="2"/>
  <c r="I36" i="2"/>
  <c r="D22" i="2"/>
  <c r="F23" i="2"/>
  <c r="F16" i="2"/>
  <c r="D16" i="2"/>
  <c r="F34" i="2"/>
  <c r="E34" i="2"/>
  <c r="I27" i="2"/>
  <c r="I20" i="2"/>
  <c r="D34" i="2"/>
  <c r="E27" i="2"/>
  <c r="F26" i="2"/>
  <c r="F22" i="2"/>
  <c r="D37" i="2"/>
  <c r="D20" i="2"/>
  <c r="D39" i="2"/>
  <c r="D18" i="2"/>
  <c r="D30" i="2"/>
  <c r="E25" i="2"/>
  <c r="F38" i="2"/>
  <c r="D21" i="2"/>
  <c r="E17" i="2"/>
  <c r="I25" i="2"/>
  <c r="I29" i="2"/>
  <c r="I23" i="2"/>
  <c r="I39" i="2"/>
  <c r="I24" i="2"/>
  <c r="I28" i="2"/>
  <c r="I30" i="2"/>
  <c r="I37" i="2"/>
  <c r="I17" i="2"/>
  <c r="I40" i="2"/>
  <c r="I38" i="2"/>
  <c r="I18" i="2"/>
  <c r="F29" i="2"/>
  <c r="E37" i="2"/>
  <c r="F24" i="2"/>
  <c r="E40" i="2"/>
  <c r="F28" i="2"/>
  <c r="D40" i="2"/>
  <c r="E29" i="2"/>
  <c r="D23" i="2"/>
  <c r="E18" i="2"/>
  <c r="B100" i="1"/>
  <c r="B43" i="1" s="1"/>
  <c r="F59" i="2"/>
  <c r="D28" i="2" s="1"/>
  <c r="G28" i="2"/>
  <c r="H28" i="2"/>
  <c r="B26" i="2" l="1"/>
  <c r="C26" i="2" s="1"/>
  <c r="B15" i="2"/>
  <c r="C15" i="2" s="1"/>
  <c r="B16" i="2"/>
  <c r="C16" i="2" s="1"/>
  <c r="B14" i="2"/>
  <c r="C14" i="2" s="1"/>
  <c r="B32" i="2"/>
  <c r="C32" i="2" s="1"/>
  <c r="B20" i="2"/>
  <c r="C20" i="2" s="1"/>
  <c r="B40" i="2"/>
  <c r="C40" i="2" s="1"/>
  <c r="B38" i="2"/>
  <c r="C38" i="2" s="1"/>
  <c r="B34" i="2"/>
  <c r="C34" i="2" s="1"/>
  <c r="B23" i="2"/>
  <c r="C23" i="2" s="1"/>
  <c r="B31" i="2"/>
  <c r="C31" i="2" s="1"/>
  <c r="B35" i="2"/>
  <c r="C35" i="2" s="1"/>
  <c r="B19" i="2"/>
  <c r="C19" i="2" s="1"/>
  <c r="B27" i="2"/>
  <c r="C27" i="2" s="1"/>
  <c r="B30" i="2"/>
  <c r="C30" i="2" s="1"/>
  <c r="B33" i="2"/>
  <c r="C33" i="2" s="1"/>
  <c r="B21" i="2"/>
  <c r="C21" i="2" s="1"/>
  <c r="B29" i="2"/>
  <c r="C29" i="2" s="1"/>
  <c r="B25" i="2"/>
  <c r="C25" i="2" s="1"/>
  <c r="B22" i="2"/>
  <c r="C22" i="2" s="1"/>
  <c r="B36" i="2"/>
  <c r="C36" i="2" s="1"/>
  <c r="B24" i="2"/>
  <c r="C24" i="2" s="1"/>
  <c r="B39" i="2"/>
  <c r="C39" i="2" s="1"/>
  <c r="B17" i="2"/>
  <c r="C17" i="2" s="1"/>
  <c r="B37" i="2"/>
  <c r="C37" i="2" s="1"/>
  <c r="B18" i="2"/>
  <c r="C18" i="2" s="1"/>
  <c r="B101" i="1"/>
  <c r="B44" i="1" s="1"/>
  <c r="B28" i="2"/>
  <c r="C28" i="2" s="1"/>
</calcChain>
</file>

<file path=xl/sharedStrings.xml><?xml version="1.0" encoding="utf-8"?>
<sst xmlns="http://schemas.openxmlformats.org/spreadsheetml/2006/main" count="228" uniqueCount="155">
  <si>
    <t>Power Loss Calculation</t>
  </si>
  <si>
    <t>Switching Frequency</t>
  </si>
  <si>
    <t>kHz</t>
  </si>
  <si>
    <t>V</t>
  </si>
  <si>
    <t>Duty Cycle</t>
  </si>
  <si>
    <t>Effective Output Resistance</t>
  </si>
  <si>
    <t>Ohm</t>
  </si>
  <si>
    <t>Output Current</t>
  </si>
  <si>
    <t>A</t>
  </si>
  <si>
    <t>Iupper,rms</t>
  </si>
  <si>
    <t>OUTPUT INDUCTOR</t>
  </si>
  <si>
    <t>Ilower,rms</t>
  </si>
  <si>
    <r>
      <t>Inductor Current Ripple Ratio (</t>
    </r>
    <r>
      <rPr>
        <b/>
        <sz val="10"/>
        <rFont val="Arial"/>
        <family val="2"/>
      </rPr>
      <t>∆</t>
    </r>
    <r>
      <rPr>
        <b/>
        <sz val="10"/>
        <rFont val="Times New Roman"/>
        <family val="1"/>
      </rPr>
      <t>I/ILOAD)</t>
    </r>
  </si>
  <si>
    <t>%</t>
  </si>
  <si>
    <t>Recommended Inductor</t>
  </si>
  <si>
    <t>uH</t>
  </si>
  <si>
    <t>Current Ripple</t>
  </si>
  <si>
    <t>Ap-p</t>
  </si>
  <si>
    <t>Output Inductor</t>
  </si>
  <si>
    <t>Conduction Loss</t>
  </si>
  <si>
    <t>Switching Loss</t>
  </si>
  <si>
    <t xml:space="preserve">     DCR</t>
  </si>
  <si>
    <t>mOhm</t>
  </si>
  <si>
    <t>Upper MOSFET</t>
  </si>
  <si>
    <t>Lower Diode</t>
  </si>
  <si>
    <t>OUTPUT CAPACITOR</t>
  </si>
  <si>
    <t>Driver</t>
  </si>
  <si>
    <t>Number of Output Capacitor</t>
  </si>
  <si>
    <t xml:space="preserve">   Capacitance (Each)</t>
  </si>
  <si>
    <t>uF</t>
  </si>
  <si>
    <t>Ouput Cap. ESR</t>
  </si>
  <si>
    <t xml:space="preserve">   ESR (Each)</t>
  </si>
  <si>
    <t>LDO &amp; Logic</t>
  </si>
  <si>
    <t>UPPER MOSFET</t>
  </si>
  <si>
    <t>Rds,on</t>
  </si>
  <si>
    <t>LOWER SCHOTTKY DIODE</t>
  </si>
  <si>
    <t>Vd, Forward Voltage</t>
  </si>
  <si>
    <t>Ct, Total Capacitance</t>
  </si>
  <si>
    <t>nF</t>
  </si>
  <si>
    <t xml:space="preserve">Ir, Reverse Current </t>
  </si>
  <si>
    <t>uA</t>
  </si>
  <si>
    <t>Total Loss</t>
  </si>
  <si>
    <t>Watts</t>
  </si>
  <si>
    <t>Total Loss within IC</t>
  </si>
  <si>
    <t>Efficiency</t>
  </si>
  <si>
    <t xml:space="preserve">   Rds,on</t>
  </si>
  <si>
    <t xml:space="preserve">   Vd</t>
  </si>
  <si>
    <t xml:space="preserve">   Qrr</t>
  </si>
  <si>
    <t>nC</t>
  </si>
  <si>
    <t xml:space="preserve">   Qg</t>
  </si>
  <si>
    <t xml:space="preserve">   Cgs</t>
  </si>
  <si>
    <t>Rdson*Cgs</t>
  </si>
  <si>
    <t>mOhm*nF</t>
  </si>
  <si>
    <t xml:space="preserve">   Coss</t>
  </si>
  <si>
    <t>Rdson*Coss</t>
  </si>
  <si>
    <t xml:space="preserve">   Tr</t>
  </si>
  <si>
    <t>ns</t>
  </si>
  <si>
    <t>Switching time of upper MOSFET from OFF to ON</t>
  </si>
  <si>
    <t xml:space="preserve">   Tf</t>
  </si>
  <si>
    <t>Switching time of upper MOSFET from ON to OFF</t>
  </si>
  <si>
    <t xml:space="preserve">   n</t>
  </si>
  <si>
    <t>Number of upper MOSFETs</t>
  </si>
  <si>
    <t xml:space="preserve">   Pcon</t>
  </si>
  <si>
    <t>W</t>
  </si>
  <si>
    <t>Upper MOSFETs conduction loss = (Irms.upper)^2*Rds/n</t>
  </si>
  <si>
    <t xml:space="preserve">   Psw_on</t>
  </si>
  <si>
    <t>Upper MOSFETs turn-ON switching loss = Vin*(Iout-Irip/2)*Tr*Fsw/2</t>
  </si>
  <si>
    <t xml:space="preserve">   Psw_off</t>
  </si>
  <si>
    <t>Upper MOSFETs turn-OFF switching loss = Vin*(Iout+Irip/2)*Tf*Fsw/2</t>
  </si>
  <si>
    <t xml:space="preserve">   Pdiode</t>
  </si>
  <si>
    <t>Upper MOSFET diode reverse recovery loss = n*Vin*Fsw*Qrr</t>
  </si>
  <si>
    <t xml:space="preserve">   Pcap</t>
  </si>
  <si>
    <t>MOSFET output capacitance loss  = n*Coss*(Vin)^2*Fsw/2</t>
  </si>
  <si>
    <t xml:space="preserve">   Pupper</t>
  </si>
  <si>
    <t>Total upper MOSFETs Power loss</t>
  </si>
  <si>
    <t>LOWER DIODE</t>
  </si>
  <si>
    <t xml:space="preserve">   Td_on</t>
  </si>
  <si>
    <t>Dead time for UGATE OFF to LGATE ON</t>
  </si>
  <si>
    <t xml:space="preserve">   Td_off</t>
  </si>
  <si>
    <t>Dead time for LGATE ON to UGATE OFF</t>
  </si>
  <si>
    <t>Number of lower DIODEs</t>
  </si>
  <si>
    <t>Lower DIODE conduction loss = (Iave.lower)*Vd</t>
  </si>
  <si>
    <t>Body diode conduction loss = Vd*Fsw*[ (Iout+Irip/2) * Td1+ (Iout-Irip/2) * Td2]</t>
  </si>
  <si>
    <t xml:space="preserve">   Pdiode_RR</t>
  </si>
  <si>
    <t>Lower DIODE diode reverse conduction loss = D*Ir*Vin</t>
  </si>
  <si>
    <t>DIODE output capacitance loss  = n*Coss*(Vin)^2*Fsw/2</t>
  </si>
  <si>
    <t xml:space="preserve">   Plower</t>
  </si>
  <si>
    <t>Total lower DIODEs Power loss</t>
  </si>
  <si>
    <t>DRIVER POWER LOSS</t>
  </si>
  <si>
    <t>Vgs,u</t>
  </si>
  <si>
    <t>Vgs,l</t>
  </si>
  <si>
    <t>Pdr,up</t>
  </si>
  <si>
    <t>Upper MOSFET driver loss = n*Vgs1*Fsw*Qg.up</t>
  </si>
  <si>
    <t>Pdr,low</t>
  </si>
  <si>
    <t>Lower DIODE driver loss = n*Vgs2*Fsw*Qg.low</t>
  </si>
  <si>
    <t>Pdriver</t>
  </si>
  <si>
    <t>Total driver power loss</t>
  </si>
  <si>
    <t>OUTPUT INDUCTOR LOSS</t>
  </si>
  <si>
    <t>Pcore</t>
  </si>
  <si>
    <t>Inductor core loss</t>
  </si>
  <si>
    <t>Pcon</t>
  </si>
  <si>
    <t>Inductor conduction loss = (Irms)^2*DCR</t>
  </si>
  <si>
    <t>Pind</t>
  </si>
  <si>
    <t>Total inductor loss</t>
  </si>
  <si>
    <t>LDO LOSS</t>
  </si>
  <si>
    <t>Iq</t>
  </si>
  <si>
    <t>mA</t>
  </si>
  <si>
    <t>Driver Current</t>
  </si>
  <si>
    <t>P_LDO</t>
  </si>
  <si>
    <t>OUTPUT CAPACITOR LOSS</t>
  </si>
  <si>
    <t>Pesr</t>
  </si>
  <si>
    <t>ESR Conduction Loss</t>
  </si>
  <si>
    <t>Efficiency Summary</t>
  </si>
  <si>
    <t>Min Current</t>
  </si>
  <si>
    <t>DCM-CCM Boundary</t>
  </si>
  <si>
    <t>Max Current</t>
  </si>
  <si>
    <t xml:space="preserve">Total Power Loss </t>
  </si>
  <si>
    <t>Losses in Upper MOSFET</t>
  </si>
  <si>
    <t>Losses in Lower DIODE</t>
  </si>
  <si>
    <t>Driver Loss</t>
  </si>
  <si>
    <t>Inductor Loss</t>
  </si>
  <si>
    <t>Capactor Loss</t>
  </si>
  <si>
    <t>LDO</t>
  </si>
  <si>
    <t>Time shift</t>
  </si>
  <si>
    <t>Frequency</t>
  </si>
  <si>
    <t>Energy Current</t>
  </si>
  <si>
    <t>D</t>
  </si>
  <si>
    <t>Irip</t>
  </si>
  <si>
    <t>Iup,rms</t>
  </si>
  <si>
    <t>Ilos,rms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</si>
  <si>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C/Watt</t>
    </r>
  </si>
  <si>
    <t>Ambient Temperature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</si>
  <si>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</t>
    </r>
  </si>
  <si>
    <t>On Time</t>
  </si>
  <si>
    <r>
      <t xml:space="preserve">Thermal Resitance, </t>
    </r>
    <r>
      <rPr>
        <b/>
        <sz val="10"/>
        <rFont val="Symbol"/>
        <family val="1"/>
        <charset val="2"/>
      </rPr>
      <t>q</t>
    </r>
    <r>
      <rPr>
        <b/>
        <vertAlign val="subscript"/>
        <sz val="10"/>
        <rFont val="Times New Roman"/>
        <family val="1"/>
      </rPr>
      <t>JA</t>
    </r>
  </si>
  <si>
    <t>Internal</t>
  </si>
  <si>
    <t>External</t>
  </si>
  <si>
    <t>Part Number</t>
  </si>
  <si>
    <t>Program UVLO:</t>
  </si>
  <si>
    <r>
      <t>V</t>
    </r>
    <r>
      <rPr>
        <b/>
        <vertAlign val="subscript"/>
        <sz val="10"/>
        <rFont val="Arial"/>
        <family val="2"/>
      </rPr>
      <t>ON</t>
    </r>
  </si>
  <si>
    <r>
      <t>V</t>
    </r>
    <r>
      <rPr>
        <b/>
        <vertAlign val="subscript"/>
        <sz val="10"/>
        <rFont val="Arial"/>
        <family val="2"/>
      </rPr>
      <t>OFF</t>
    </r>
  </si>
  <si>
    <t>kOhm</t>
  </si>
  <si>
    <t>R3</t>
  </si>
  <si>
    <t>R4</t>
  </si>
  <si>
    <t>Junction Temperature</t>
  </si>
  <si>
    <t>AP6A255</t>
  </si>
  <si>
    <t>AP6A255Q</t>
  </si>
  <si>
    <t>AP6A355</t>
  </si>
  <si>
    <t>AP6A355Q</t>
  </si>
  <si>
    <t>R1</t>
  </si>
  <si>
    <t>R2</t>
  </si>
  <si>
    <t>AP68255</t>
  </si>
  <si>
    <t>AP68255Q</t>
  </si>
  <si>
    <t>AP68355</t>
  </si>
  <si>
    <t>AP68355Q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</si>
</sst>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0.000"/>
    <numFmt numFmtId="165" formatCode="0.000E+00"/>
    <numFmt numFmtId="166" formatCode="#,##0.0"/>
    <numFmt numFmtId="167" formatCode="#,##0.000"/>
    <numFmt numFmtId="168" formatCode="0.0000"/>
    <numFmt numFmtId="169" formatCode="0.0"/>
    <numFmt numFmtId="170" formatCode="_(* #,##0_);_(* \(#,##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  <font>
      <b/>
      <sz val="10"/>
      <color indexed="10"/>
      <name val="Arial"/>
      <family val="2"/>
    </font>
    <font>
      <b/>
      <i/>
      <u/>
      <sz val="10"/>
      <name val="Arial"/>
      <family val="2"/>
    </font>
    <font>
      <b/>
      <sz val="10"/>
      <name val="Times New Roman"/>
      <family val="1"/>
    </font>
    <font>
      <b/>
      <sz val="10"/>
      <color indexed="9"/>
      <name val="Arial"/>
      <family val="2"/>
    </font>
    <font>
      <b/>
      <i/>
      <u/>
      <sz val="12"/>
      <name val="Arial"/>
      <family val="2"/>
    </font>
    <font>
      <b/>
      <sz val="12"/>
      <name val="Arial"/>
      <family val="2"/>
    </font>
    <font>
      <b/>
      <sz val="10"/>
      <color rgb="FFFF0000"/>
      <name val="Arial"/>
      <family val="2"/>
    </font>
    <font>
      <b/>
      <i/>
      <sz val="12"/>
      <name val="Arial"/>
      <family val="2"/>
    </font>
    <font>
      <b/>
      <i/>
      <sz val="10"/>
      <name val="Arial"/>
      <family val="2"/>
    </font>
    <font>
      <b/>
      <sz val="10"/>
      <color theme="0"/>
      <name val="Arial"/>
      <family val="2"/>
    </font>
    <font>
      <b/>
      <sz val="11"/>
      <color theme="1"/>
      <name val="Arial"/>
      <family val="2"/>
    </font>
    <font>
      <b/>
      <sz val="10"/>
      <name val="Symbol"/>
      <family val="1"/>
      <charset val="2"/>
    </font>
    <font>
      <b/>
      <i/>
      <u/>
      <sz val="10"/>
      <color theme="0"/>
      <name val="Arial"/>
      <family val="2"/>
    </font>
    <font>
      <b/>
      <i/>
      <sz val="10"/>
      <color theme="0"/>
      <name val="Arial"/>
      <family val="2"/>
    </font>
    <font>
      <b/>
      <vertAlign val="subscript"/>
      <sz val="10"/>
      <name val="Times New Roman"/>
      <family val="1"/>
    </font>
    <font>
      <sz val="11"/>
      <color theme="1"/>
      <name val="Calibri"/>
      <family val="2"/>
      <charset val="134"/>
      <scheme val="minor"/>
    </font>
    <font>
      <sz val="10"/>
      <name val="Arial"/>
      <family val="2"/>
    </font>
    <font>
      <b/>
      <u/>
      <sz val="10"/>
      <name val="Arial"/>
      <family val="2"/>
    </font>
    <font>
      <b/>
      <vertAlign val="subscript"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19" fillId="0" borderId="0">
      <alignment vertical="center"/>
    </xf>
    <xf numFmtId="0" fontId="20" fillId="0" borderId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0">
    <xf numFmtId="0" fontId="0" fillId="0" borderId="0" xfId="0"/>
    <xf numFmtId="0" fontId="2" fillId="2" borderId="1" xfId="0" applyFont="1" applyFill="1" applyBorder="1"/>
    <xf numFmtId="0" fontId="2" fillId="2" borderId="0" xfId="0" applyFont="1" applyFill="1"/>
    <xf numFmtId="0" fontId="3" fillId="2" borderId="0" xfId="0" applyFont="1" applyFill="1"/>
    <xf numFmtId="0" fontId="2" fillId="3" borderId="0" xfId="0" applyFont="1" applyFill="1"/>
    <xf numFmtId="2" fontId="2" fillId="4" borderId="0" xfId="0" applyNumberFormat="1" applyFont="1" applyFill="1"/>
    <xf numFmtId="0" fontId="4" fillId="2" borderId="0" xfId="0" applyFont="1" applyFill="1"/>
    <xf numFmtId="0" fontId="2" fillId="4" borderId="0" xfId="0" applyFont="1" applyFill="1"/>
    <xf numFmtId="2" fontId="2" fillId="2" borderId="0" xfId="0" applyNumberFormat="1" applyFont="1" applyFill="1"/>
    <xf numFmtId="0" fontId="5" fillId="2" borderId="0" xfId="0" applyFont="1" applyFill="1"/>
    <xf numFmtId="0" fontId="6" fillId="2" borderId="0" xfId="0" applyFont="1" applyFill="1"/>
    <xf numFmtId="0" fontId="6" fillId="3" borderId="0" xfId="0" applyFont="1" applyFill="1"/>
    <xf numFmtId="0" fontId="7" fillId="2" borderId="0" xfId="0" applyFont="1" applyFill="1"/>
    <xf numFmtId="0" fontId="7" fillId="2" borderId="0" xfId="0" applyFont="1" applyFill="1" applyProtection="1">
      <protection hidden="1"/>
    </xf>
    <xf numFmtId="0" fontId="2" fillId="2" borderId="0" xfId="0" quotePrefix="1" applyFont="1" applyFill="1"/>
    <xf numFmtId="1" fontId="2" fillId="2" borderId="0" xfId="0" applyNumberFormat="1" applyFont="1" applyFill="1"/>
    <xf numFmtId="164" fontId="2" fillId="2" borderId="0" xfId="0" applyNumberFormat="1" applyFont="1" applyFill="1"/>
    <xf numFmtId="0" fontId="8" fillId="2" borderId="0" xfId="0" applyFont="1" applyFill="1"/>
    <xf numFmtId="164" fontId="9" fillId="4" borderId="0" xfId="0" applyNumberFormat="1" applyFont="1" applyFill="1"/>
    <xf numFmtId="0" fontId="9" fillId="3" borderId="0" xfId="0" applyFont="1" applyFill="1"/>
    <xf numFmtId="164" fontId="2" fillId="4" borderId="0" xfId="0" applyNumberFormat="1" applyFont="1" applyFill="1"/>
    <xf numFmtId="1" fontId="2" fillId="2" borderId="1" xfId="0" applyNumberFormat="1" applyFont="1" applyFill="1" applyBorder="1"/>
    <xf numFmtId="0" fontId="4" fillId="2" borderId="0" xfId="0" applyFont="1" applyFill="1" applyProtection="1">
      <protection hidden="1"/>
    </xf>
    <xf numFmtId="0" fontId="10" fillId="2" borderId="0" xfId="0" applyFont="1" applyFill="1" applyProtection="1">
      <protection hidden="1"/>
    </xf>
    <xf numFmtId="0" fontId="10" fillId="2" borderId="0" xfId="0" applyFont="1" applyFill="1"/>
    <xf numFmtId="0" fontId="11" fillId="2" borderId="0" xfId="0" applyFont="1" applyFill="1"/>
    <xf numFmtId="0" fontId="12" fillId="2" borderId="0" xfId="0" applyFont="1" applyFill="1"/>
    <xf numFmtId="0" fontId="2" fillId="2" borderId="0" xfId="0" applyFont="1" applyFill="1" applyProtection="1">
      <protection hidden="1"/>
    </xf>
    <xf numFmtId="0" fontId="13" fillId="2" borderId="0" xfId="0" applyFont="1" applyFill="1"/>
    <xf numFmtId="0" fontId="13" fillId="2" borderId="0" xfId="0" applyFont="1" applyFill="1" applyProtection="1">
      <protection hidden="1"/>
    </xf>
    <xf numFmtId="0" fontId="2" fillId="5" borderId="0" xfId="0" applyFont="1" applyFill="1" applyProtection="1">
      <protection locked="0"/>
    </xf>
    <xf numFmtId="164" fontId="2" fillId="5" borderId="0" xfId="0" applyNumberFormat="1" applyFont="1" applyFill="1" applyProtection="1">
      <protection locked="0"/>
    </xf>
    <xf numFmtId="0" fontId="6" fillId="5" borderId="0" xfId="0" applyFont="1" applyFill="1" applyProtection="1">
      <protection locked="0"/>
    </xf>
    <xf numFmtId="1" fontId="2" fillId="5" borderId="0" xfId="0" applyNumberFormat="1" applyFont="1" applyFill="1" applyProtection="1">
      <protection locked="0"/>
    </xf>
    <xf numFmtId="0" fontId="2" fillId="5" borderId="0" xfId="0" applyFont="1" applyFill="1"/>
    <xf numFmtId="0" fontId="14" fillId="0" borderId="0" xfId="0" applyFont="1"/>
    <xf numFmtId="169" fontId="2" fillId="5" borderId="0" xfId="0" applyNumberFormat="1" applyFont="1" applyFill="1" applyProtection="1">
      <protection locked="0"/>
    </xf>
    <xf numFmtId="169" fontId="6" fillId="4" borderId="0" xfId="0" applyNumberFormat="1" applyFont="1" applyFill="1"/>
    <xf numFmtId="164" fontId="13" fillId="2" borderId="0" xfId="0" applyNumberFormat="1" applyFont="1" applyFill="1" applyProtection="1">
      <protection hidden="1"/>
    </xf>
    <xf numFmtId="165" fontId="13" fillId="2" borderId="0" xfId="0" applyNumberFormat="1" applyFont="1" applyFill="1" applyProtection="1">
      <protection hidden="1"/>
    </xf>
    <xf numFmtId="1" fontId="13" fillId="2" borderId="0" xfId="0" applyNumberFormat="1" applyFont="1" applyFill="1"/>
    <xf numFmtId="0" fontId="16" fillId="2" borderId="0" xfId="0" applyFont="1" applyFill="1" applyProtection="1">
      <protection hidden="1"/>
    </xf>
    <xf numFmtId="0" fontId="17" fillId="2" borderId="0" xfId="0" applyFont="1" applyFill="1" applyProtection="1">
      <protection hidden="1"/>
    </xf>
    <xf numFmtId="164" fontId="17" fillId="2" borderId="0" xfId="0" applyNumberFormat="1" applyFont="1" applyFill="1" applyProtection="1">
      <protection hidden="1"/>
    </xf>
    <xf numFmtId="0" fontId="13" fillId="2" borderId="0" xfId="0" applyFont="1" applyFill="1" applyAlignment="1">
      <alignment horizontal="right"/>
    </xf>
    <xf numFmtId="170" fontId="2" fillId="4" borderId="0" xfId="2" applyNumberFormat="1" applyFont="1" applyFill="1"/>
    <xf numFmtId="0" fontId="13" fillId="2" borderId="0" xfId="0" applyFont="1" applyFill="1" applyAlignment="1">
      <alignment horizontal="center"/>
    </xf>
    <xf numFmtId="164" fontId="13" fillId="2" borderId="0" xfId="0" applyNumberFormat="1" applyFont="1" applyFill="1" applyAlignment="1">
      <alignment horizontal="center"/>
    </xf>
    <xf numFmtId="2" fontId="13" fillId="2" borderId="0" xfId="0" applyNumberFormat="1" applyFont="1" applyFill="1" applyAlignment="1">
      <alignment horizontal="center"/>
    </xf>
    <xf numFmtId="164" fontId="13" fillId="2" borderId="0" xfId="0" applyNumberFormat="1" applyFont="1" applyFill="1"/>
    <xf numFmtId="168" fontId="13" fillId="2" borderId="0" xfId="0" applyNumberFormat="1" applyFont="1" applyFill="1"/>
    <xf numFmtId="165" fontId="13" fillId="2" borderId="0" xfId="0" applyNumberFormat="1" applyFont="1" applyFill="1"/>
    <xf numFmtId="0" fontId="13" fillId="2" borderId="0" xfId="0" quotePrefix="1" applyFont="1" applyFill="1" applyProtection="1">
      <protection hidden="1"/>
    </xf>
    <xf numFmtId="169" fontId="2" fillId="5" borderId="0" xfId="0" applyNumberFormat="1" applyFont="1" applyFill="1" applyAlignment="1" applyProtection="1">
      <alignment horizontal="right" vertical="center"/>
      <protection locked="0"/>
    </xf>
    <xf numFmtId="1" fontId="2" fillId="4" borderId="0" xfId="0" applyNumberFormat="1" applyFont="1" applyFill="1"/>
    <xf numFmtId="0" fontId="21" fillId="2" borderId="0" xfId="0" applyFont="1" applyFill="1"/>
    <xf numFmtId="0" fontId="2" fillId="2" borderId="0" xfId="0" applyFont="1" applyFill="1" applyAlignment="1">
      <alignment horizontal="right" vertical="center"/>
    </xf>
    <xf numFmtId="1" fontId="2" fillId="4" borderId="0" xfId="0" applyNumberFormat="1" applyFont="1" applyFill="1" applyAlignment="1">
      <alignment horizontal="right" vertical="center"/>
    </xf>
    <xf numFmtId="1" fontId="9" fillId="4" borderId="0" xfId="0" applyNumberFormat="1" applyFont="1" applyFill="1" applyAlignment="1">
      <alignment vertical="center"/>
    </xf>
    <xf numFmtId="0" fontId="2" fillId="6" borderId="0" xfId="0" applyFont="1" applyFill="1" applyAlignment="1">
      <alignment horizontal="right" vertical="center"/>
    </xf>
    <xf numFmtId="169" fontId="9" fillId="4" borderId="0" xfId="0" applyNumberFormat="1" applyFont="1" applyFill="1"/>
    <xf numFmtId="2" fontId="2" fillId="4" borderId="0" xfId="0" applyNumberFormat="1" applyFont="1" applyFill="1" applyAlignment="1">
      <alignment horizontal="right" vertical="center"/>
    </xf>
    <xf numFmtId="166" fontId="13" fillId="2" borderId="0" xfId="0" applyNumberFormat="1" applyFont="1" applyFill="1" applyProtection="1">
      <protection hidden="1"/>
    </xf>
    <xf numFmtId="11" fontId="13" fillId="2" borderId="0" xfId="0" applyNumberFormat="1" applyFont="1" applyFill="1" applyProtection="1">
      <protection hidden="1"/>
    </xf>
    <xf numFmtId="167" fontId="13" fillId="2" borderId="0" xfId="0" applyNumberFormat="1" applyFont="1" applyFill="1" applyProtection="1">
      <protection hidden="1"/>
    </xf>
    <xf numFmtId="1" fontId="13" fillId="2" borderId="0" xfId="0" applyNumberFormat="1" applyFont="1" applyFill="1" applyProtection="1">
      <protection hidden="1"/>
    </xf>
    <xf numFmtId="0" fontId="13" fillId="0" borderId="0" xfId="0" applyFont="1" applyProtection="1">
      <protection hidden="1"/>
    </xf>
    <xf numFmtId="4" fontId="13" fillId="2" borderId="0" xfId="0" applyNumberFormat="1" applyFont="1" applyFill="1" applyProtection="1">
      <protection hidden="1"/>
    </xf>
    <xf numFmtId="0" fontId="13" fillId="2" borderId="0" xfId="0" applyFont="1" applyFill="1" applyProtection="1"/>
    <xf numFmtId="0" fontId="13" fillId="2" borderId="0" xfId="0" applyFont="1" applyFill="1" applyAlignment="1" applyProtection="1">
      <alignment horizontal="right"/>
    </xf>
  </cellXfs>
  <cellStyles count="7">
    <cellStyle name="Comma" xfId="2" builtinId="3"/>
    <cellStyle name="Normal" xfId="0" builtinId="0"/>
    <cellStyle name="Normal 2" xfId="1" xr:uid="{00000000-0005-0000-0000-000002000000}"/>
    <cellStyle name="Normal 3" xfId="4" xr:uid="{00000000-0005-0000-0000-000003000000}"/>
    <cellStyle name="Normal 4" xfId="3" xr:uid="{00000000-0005-0000-0000-000004000000}"/>
    <cellStyle name="Percent 2" xfId="6" xr:uid="{00000000-0005-0000-0000-000005000000}"/>
    <cellStyle name="Percent 3" xfId="5" xr:uid="{00000000-0005-0000-0000-000006000000}"/>
  </cellStyles>
  <dxfs count="0"/>
  <tableStyles count="0" defaultTableStyle="TableStyleMedium2" defaultPivotStyle="PivotStyleLight16"/>
  <colors>
    <mruColors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500" b="1" i="0" u="none" strike="noStrike" baseline="0">
                <a:solidFill>
                  <a:srgbClr val="000000"/>
                </a:solidFill>
                <a:latin typeface="Arial Narrow"/>
                <a:ea typeface="Arial Narrow"/>
                <a:cs typeface="Arial Narrow"/>
              </a:defRPr>
            </a:pPr>
            <a:r>
              <a:rPr lang="en-US"/>
              <a:t>Power Loss Distribution Chart</a:t>
            </a:r>
          </a:p>
        </c:rich>
      </c:tx>
      <c:layout>
        <c:manualLayout>
          <c:xMode val="edge"/>
          <c:yMode val="edge"/>
          <c:x val="0.30547580687860704"/>
          <c:y val="2.724358974358974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776188738469563"/>
          <c:y val="0.18109002699636137"/>
          <c:w val="0.78533884254567188"/>
          <c:h val="0.60416761219140025"/>
        </c:manualLayout>
      </c:layout>
      <c:barChart>
        <c:barDir val="col"/>
        <c:grouping val="stacked"/>
        <c:varyColors val="0"/>
        <c:ser>
          <c:idx val="0"/>
          <c:order val="0"/>
          <c:tx>
            <c:v>Conduction Loss</c:v>
          </c:tx>
          <c:spPr>
            <a:solidFill>
              <a:srgbClr val="00B0F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Lit>
              <c:ptCount val="6"/>
              <c:pt idx="0">
                <c:v>Upper MOSFET</c:v>
              </c:pt>
              <c:pt idx="1">
                <c:v>D1</c:v>
              </c:pt>
              <c:pt idx="2">
                <c:v>Driver</c:v>
              </c:pt>
              <c:pt idx="3">
                <c:v>Output Inductor</c:v>
              </c:pt>
              <c:pt idx="4">
                <c:v>Ouput Cap. ESR</c:v>
              </c:pt>
              <c:pt idx="5">
                <c:v>LDO &amp; Logic</c:v>
              </c:pt>
            </c:strLit>
          </c:cat>
          <c:val>
            <c:numRef>
              <c:f>'Power Loss'!$K$28:$K$33</c:f>
              <c:numCache>
                <c:formatCode>0.000</c:formatCode>
                <c:ptCount val="6"/>
                <c:pt idx="0">
                  <c:v>0.79180069447107582</c:v>
                </c:pt>
                <c:pt idx="1">
                  <c:v>1.5469401449242945</c:v>
                </c:pt>
                <c:pt idx="3">
                  <c:v>1.2351930264836548</c:v>
                </c:pt>
                <c:pt idx="4" formatCode="0.000E+00">
                  <c:v>3.822384931370559E-5</c:v>
                </c:pt>
                <c:pt idx="5">
                  <c:v>0.1376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F-4573-A20E-5AACD55D114B}"/>
            </c:ext>
          </c:extLst>
        </c:ser>
        <c:ser>
          <c:idx val="1"/>
          <c:order val="1"/>
          <c:tx>
            <c:v>Switching Loss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Lit>
              <c:ptCount val="6"/>
              <c:pt idx="0">
                <c:v>Upper MOSFET</c:v>
              </c:pt>
              <c:pt idx="1">
                <c:v>D1</c:v>
              </c:pt>
              <c:pt idx="2">
                <c:v>Driver</c:v>
              </c:pt>
              <c:pt idx="3">
                <c:v>Output Inductor</c:v>
              </c:pt>
              <c:pt idx="4">
                <c:v>Ouput Cap. ESR</c:v>
              </c:pt>
              <c:pt idx="5">
                <c:v>LDO &amp; Logic</c:v>
              </c:pt>
            </c:strLit>
          </c:cat>
          <c:val>
            <c:numRef>
              <c:f>'Power Loss'!$L$28:$L$33</c:f>
              <c:numCache>
                <c:formatCode>0.000</c:formatCode>
                <c:ptCount val="6"/>
                <c:pt idx="0">
                  <c:v>0.68691375811188693</c:v>
                </c:pt>
                <c:pt idx="1">
                  <c:v>0.11059200000000001</c:v>
                </c:pt>
                <c:pt idx="2">
                  <c:v>1.5E-3</c:v>
                </c:pt>
                <c:pt idx="3">
                  <c:v>1.964230772651955E-3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1F-4573-A20E-5AACD55D11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8948736"/>
        <c:axId val="220284416"/>
      </c:barChart>
      <c:catAx>
        <c:axId val="2189487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6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Component</a:t>
                </a:r>
              </a:p>
            </c:rich>
          </c:tx>
          <c:layout>
            <c:manualLayout>
              <c:xMode val="edge"/>
              <c:yMode val="edge"/>
              <c:x val="0.48607158975445075"/>
              <c:y val="0.9166681809004643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2028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02844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6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Watts</a:t>
                </a:r>
              </a:p>
            </c:rich>
          </c:tx>
          <c:layout>
            <c:manualLayout>
              <c:xMode val="edge"/>
              <c:yMode val="edge"/>
              <c:x val="1.4409221902017291E-2"/>
              <c:y val="0.43109041658254255"/>
            </c:manualLayout>
          </c:layout>
          <c:overlay val="0"/>
          <c:spPr>
            <a:noFill/>
            <a:ln w="25400">
              <a:noFill/>
            </a:ln>
          </c:spPr>
        </c:title>
        <c:numFmt formatCode="0.0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8948736"/>
        <c:crosses val="autoZero"/>
        <c:crossBetween val="between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245667778559374"/>
          <c:y val="0.18856871256477556"/>
          <c:w val="0.19596561957132874"/>
          <c:h val="0.10416683491486639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4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38100">
      <a:solidFill>
        <a:srgbClr val="0070C0"/>
      </a:solidFill>
    </a:ln>
  </c:spPr>
  <c:txPr>
    <a:bodyPr/>
    <a:lstStyle/>
    <a:p>
      <a:pPr>
        <a:defRPr sz="1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Efficiency Vs. Load</a:t>
            </a:r>
          </a:p>
        </c:rich>
      </c:tx>
      <c:layout>
        <c:manualLayout>
          <c:xMode val="edge"/>
          <c:yMode val="edge"/>
          <c:x val="0.38654527933153165"/>
          <c:y val="2.808112324492979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832389155362049"/>
          <c:y val="0.14664586583463338"/>
          <c:w val="0.8643106294488877"/>
          <c:h val="0.71762870514820598"/>
        </c:manualLayout>
      </c:layout>
      <c:scatterChart>
        <c:scatterStyle val="smoothMarker"/>
        <c:varyColors val="0"/>
        <c:ser>
          <c:idx val="0"/>
          <c:order val="0"/>
          <c:spPr>
            <a:ln w="38100">
              <a:solidFill>
                <a:srgbClr val="00B0F0"/>
              </a:solidFill>
              <a:prstDash val="solid"/>
            </a:ln>
          </c:spPr>
          <c:marker>
            <c:symbol val="none"/>
          </c:marker>
          <c:xVal>
            <c:numRef>
              <c:f>'Efficiency Summary'!$A$13:$A$40</c:f>
              <c:numCache>
                <c:formatCode>General</c:formatCode>
                <c:ptCount val="28"/>
                <c:pt idx="0">
                  <c:v>1E-3</c:v>
                </c:pt>
                <c:pt idx="1">
                  <c:v>4.4990000000000004E-3</c:v>
                </c:pt>
                <c:pt idx="2">
                  <c:v>7.9980000000000016E-3</c:v>
                </c:pt>
                <c:pt idx="3">
                  <c:v>1.4996000000000002E-2</c:v>
                </c:pt>
                <c:pt idx="4">
                  <c:v>2.1994000000000003E-2</c:v>
                </c:pt>
                <c:pt idx="5">
                  <c:v>2.8992000000000004E-2</c:v>
                </c:pt>
                <c:pt idx="6">
                  <c:v>3.5990000000000001E-2</c:v>
                </c:pt>
                <c:pt idx="7">
                  <c:v>7.0980000000000001E-2</c:v>
                </c:pt>
                <c:pt idx="8">
                  <c:v>0.14096</c:v>
                </c:pt>
                <c:pt idx="9">
                  <c:v>0.21093999999999999</c:v>
                </c:pt>
                <c:pt idx="10">
                  <c:v>0.35090000000000005</c:v>
                </c:pt>
                <c:pt idx="11">
                  <c:v>0.52585000000000004</c:v>
                </c:pt>
                <c:pt idx="12">
                  <c:v>0.70080000000000009</c:v>
                </c:pt>
                <c:pt idx="13">
                  <c:v>0.87575000000000003</c:v>
                </c:pt>
                <c:pt idx="14">
                  <c:v>1.0507</c:v>
                </c:pt>
                <c:pt idx="15">
                  <c:v>1.2256499999999999</c:v>
                </c:pt>
                <c:pt idx="16">
                  <c:v>1.4006000000000001</c:v>
                </c:pt>
                <c:pt idx="17">
                  <c:v>1.57555</c:v>
                </c:pt>
                <c:pt idx="18">
                  <c:v>1.7504999999999999</c:v>
                </c:pt>
                <c:pt idx="19">
                  <c:v>1.9254500000000001</c:v>
                </c:pt>
                <c:pt idx="20">
                  <c:v>2.1004</c:v>
                </c:pt>
                <c:pt idx="21">
                  <c:v>2.27535</c:v>
                </c:pt>
                <c:pt idx="22">
                  <c:v>2.4502999999999999</c:v>
                </c:pt>
                <c:pt idx="23">
                  <c:v>2.6252499999999999</c:v>
                </c:pt>
                <c:pt idx="24">
                  <c:v>2.8002000000000002</c:v>
                </c:pt>
                <c:pt idx="25">
                  <c:v>2.9751499999999997</c:v>
                </c:pt>
                <c:pt idx="26">
                  <c:v>3.1501000000000001</c:v>
                </c:pt>
                <c:pt idx="27">
                  <c:v>3.5</c:v>
                </c:pt>
              </c:numCache>
            </c:numRef>
          </c:xVal>
          <c:yVal>
            <c:numRef>
              <c:f>'Efficiency Summary'!$C$13:$C$40</c:f>
              <c:numCache>
                <c:formatCode>0.00</c:formatCode>
                <c:ptCount val="28"/>
                <c:pt idx="0">
                  <c:v>5.7420505913393534</c:v>
                </c:pt>
                <c:pt idx="1">
                  <c:v>20.73091862932543</c:v>
                </c:pt>
                <c:pt idx="2">
                  <c:v>31.133866614580157</c:v>
                </c:pt>
                <c:pt idx="3">
                  <c:v>44.530019169787451</c:v>
                </c:pt>
                <c:pt idx="4">
                  <c:v>52.767549874844178</c:v>
                </c:pt>
                <c:pt idx="5">
                  <c:v>58.32901390881505</c:v>
                </c:pt>
                <c:pt idx="6">
                  <c:v>62.323440272485762</c:v>
                </c:pt>
                <c:pt idx="7">
                  <c:v>72.211003161253501</c:v>
                </c:pt>
                <c:pt idx="8">
                  <c:v>77.554248239552365</c:v>
                </c:pt>
                <c:pt idx="9">
                  <c:v>77.726795898907639</c:v>
                </c:pt>
                <c:pt idx="10">
                  <c:v>76.879992534801858</c:v>
                </c:pt>
                <c:pt idx="11">
                  <c:v>79.921668049331686</c:v>
                </c:pt>
                <c:pt idx="12">
                  <c:v>81.352545947001957</c:v>
                </c:pt>
                <c:pt idx="13">
                  <c:v>82.085534376480723</c:v>
                </c:pt>
                <c:pt idx="14">
                  <c:v>82.454013734684764</c:v>
                </c:pt>
                <c:pt idx="15">
                  <c:v>82.608709172961881</c:v>
                </c:pt>
                <c:pt idx="16">
                  <c:v>82.627708292027322</c:v>
                </c:pt>
                <c:pt idx="17">
                  <c:v>82.555508725198749</c:v>
                </c:pt>
                <c:pt idx="18">
                  <c:v>82.419322173064387</c:v>
                </c:pt>
                <c:pt idx="19">
                  <c:v>82.236722335327926</c:v>
                </c:pt>
                <c:pt idx="20">
                  <c:v>82.019562502402948</c:v>
                </c:pt>
                <c:pt idx="21">
                  <c:v>81.776125968739819</c:v>
                </c:pt>
                <c:pt idx="22">
                  <c:v>81.512374248485614</c:v>
                </c:pt>
                <c:pt idx="23">
                  <c:v>81.232705831686204</c:v>
                </c:pt>
                <c:pt idx="24">
                  <c:v>80.940435663073487</c:v>
                </c:pt>
                <c:pt idx="25">
                  <c:v>80.638108338132938</c:v>
                </c:pt>
                <c:pt idx="26">
                  <c:v>80.32770861775856</c:v>
                </c:pt>
                <c:pt idx="27">
                  <c:v>79.688659422005585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FFEB-4388-8BD5-AB9DE5CBD5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6368512"/>
        <c:axId val="234232448"/>
      </c:scatterChart>
      <c:valAx>
        <c:axId val="226368512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Load (A)</a:t>
                </a:r>
              </a:p>
            </c:rich>
          </c:tx>
          <c:layout>
            <c:manualLayout>
              <c:xMode val="edge"/>
              <c:yMode val="edge"/>
              <c:x val="0.50057036485034578"/>
              <c:y val="0.9329173166926677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4232448"/>
        <c:crosses val="autoZero"/>
        <c:crossBetween val="midCat"/>
      </c:valAx>
      <c:valAx>
        <c:axId val="234232448"/>
        <c:scaling>
          <c:orientation val="minMax"/>
          <c:max val="100"/>
          <c:min val="4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Efficiency (%)</a:t>
                </a:r>
              </a:p>
            </c:rich>
          </c:tx>
          <c:layout>
            <c:manualLayout>
              <c:xMode val="edge"/>
              <c:yMode val="edge"/>
              <c:x val="1.7103762827822121E-2"/>
              <c:y val="0.41965678627145087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26368512"/>
        <c:crossesAt val="0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8100">
      <a:solidFill>
        <a:srgbClr val="0070C0"/>
      </a:solidFill>
      <a:prstDash val="solid"/>
    </a:ln>
  </c:spPr>
  <c:txPr>
    <a:bodyPr/>
    <a:lstStyle/>
    <a:p>
      <a:pPr>
        <a:defRPr sz="1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39187</xdr:colOff>
      <xdr:row>45</xdr:row>
      <xdr:rowOff>51251</xdr:rowOff>
    </xdr:from>
    <xdr:to>
      <xdr:col>10</xdr:col>
      <xdr:colOff>543462</xdr:colOff>
      <xdr:row>82</xdr:row>
      <xdr:rowOff>39557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933450</xdr:colOff>
      <xdr:row>0</xdr:row>
      <xdr:rowOff>142875</xdr:rowOff>
    </xdr:from>
    <xdr:to>
      <xdr:col>6</xdr:col>
      <xdr:colOff>622988</xdr:colOff>
      <xdr:row>11</xdr:row>
      <xdr:rowOff>152400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" y="142875"/>
          <a:ext cx="6503550" cy="1819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192577</xdr:colOff>
          <xdr:row>17</xdr:row>
          <xdr:rowOff>55417</xdr:rowOff>
        </xdr:from>
        <xdr:to>
          <xdr:col>18</xdr:col>
          <xdr:colOff>207817</xdr:colOff>
          <xdr:row>37</xdr:row>
          <xdr:rowOff>139237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10</xdr:row>
      <xdr:rowOff>81915</xdr:rowOff>
    </xdr:from>
    <xdr:to>
      <xdr:col>8</xdr:col>
      <xdr:colOff>182880</xdr:colOff>
      <xdr:row>47</xdr:row>
      <xdr:rowOff>154305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981075</xdr:colOff>
      <xdr:row>0</xdr:row>
      <xdr:rowOff>161925</xdr:rowOff>
    </xdr:from>
    <xdr:to>
      <xdr:col>6</xdr:col>
      <xdr:colOff>899040</xdr:colOff>
      <xdr:row>0</xdr:row>
      <xdr:rowOff>1981200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1075" y="161925"/>
          <a:ext cx="6503550" cy="1819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Visio_Drawing.vsdx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M123"/>
  <sheetViews>
    <sheetView topLeftCell="A7" zoomScale="110" zoomScaleNormal="110" workbookViewId="0">
      <selection activeCell="B17" sqref="B17"/>
    </sheetView>
  </sheetViews>
  <sheetFormatPr defaultRowHeight="13.2"/>
  <cols>
    <col min="1" max="1" width="36.33203125" style="2" customWidth="1"/>
    <col min="2" max="2" width="10.109375" style="2" customWidth="1"/>
    <col min="3" max="3" width="7" style="2" customWidth="1"/>
    <col min="4" max="4" width="13.5546875" style="2" customWidth="1"/>
    <col min="5" max="5" width="26" style="2" customWidth="1"/>
    <col min="6" max="6" width="9.33203125" style="2" customWidth="1"/>
    <col min="7" max="9" width="9.109375" style="2"/>
    <col min="10" max="10" width="14.33203125" style="2" bestFit="1" customWidth="1"/>
    <col min="11" max="11" width="15" style="2" bestFit="1" customWidth="1"/>
    <col min="12" max="12" width="13.6640625" style="2" bestFit="1" customWidth="1"/>
    <col min="13" max="256" width="9.109375" style="2"/>
    <col min="257" max="257" width="34.33203125" style="2" bestFit="1" customWidth="1"/>
    <col min="258" max="258" width="10.109375" style="2" customWidth="1"/>
    <col min="259" max="259" width="7" style="2" customWidth="1"/>
    <col min="260" max="260" width="47" style="2" customWidth="1"/>
    <col min="261" max="261" width="26" style="2" customWidth="1"/>
    <col min="262" max="262" width="7" style="2" bestFit="1" customWidth="1"/>
    <col min="263" max="265" width="9.109375" style="2"/>
    <col min="266" max="266" width="14.33203125" style="2" bestFit="1" customWidth="1"/>
    <col min="267" max="267" width="15" style="2" bestFit="1" customWidth="1"/>
    <col min="268" max="268" width="13.6640625" style="2" bestFit="1" customWidth="1"/>
    <col min="269" max="512" width="9.109375" style="2"/>
    <col min="513" max="513" width="34.33203125" style="2" bestFit="1" customWidth="1"/>
    <col min="514" max="514" width="10.109375" style="2" customWidth="1"/>
    <col min="515" max="515" width="7" style="2" customWidth="1"/>
    <col min="516" max="516" width="47" style="2" customWidth="1"/>
    <col min="517" max="517" width="26" style="2" customWidth="1"/>
    <col min="518" max="518" width="7" style="2" bestFit="1" customWidth="1"/>
    <col min="519" max="521" width="9.109375" style="2"/>
    <col min="522" max="522" width="14.33203125" style="2" bestFit="1" customWidth="1"/>
    <col min="523" max="523" width="15" style="2" bestFit="1" customWidth="1"/>
    <col min="524" max="524" width="13.6640625" style="2" bestFit="1" customWidth="1"/>
    <col min="525" max="768" width="9.109375" style="2"/>
    <col min="769" max="769" width="34.33203125" style="2" bestFit="1" customWidth="1"/>
    <col min="770" max="770" width="10.109375" style="2" customWidth="1"/>
    <col min="771" max="771" width="7" style="2" customWidth="1"/>
    <col min="772" max="772" width="47" style="2" customWidth="1"/>
    <col min="773" max="773" width="26" style="2" customWidth="1"/>
    <col min="774" max="774" width="7" style="2" bestFit="1" customWidth="1"/>
    <col min="775" max="777" width="9.109375" style="2"/>
    <col min="778" max="778" width="14.33203125" style="2" bestFit="1" customWidth="1"/>
    <col min="779" max="779" width="15" style="2" bestFit="1" customWidth="1"/>
    <col min="780" max="780" width="13.6640625" style="2" bestFit="1" customWidth="1"/>
    <col min="781" max="1024" width="9.109375" style="2"/>
    <col min="1025" max="1025" width="34.33203125" style="2" bestFit="1" customWidth="1"/>
    <col min="1026" max="1026" width="10.109375" style="2" customWidth="1"/>
    <col min="1027" max="1027" width="7" style="2" customWidth="1"/>
    <col min="1028" max="1028" width="47" style="2" customWidth="1"/>
    <col min="1029" max="1029" width="26" style="2" customWidth="1"/>
    <col min="1030" max="1030" width="7" style="2" bestFit="1" customWidth="1"/>
    <col min="1031" max="1033" width="9.109375" style="2"/>
    <col min="1034" max="1034" width="14.33203125" style="2" bestFit="1" customWidth="1"/>
    <col min="1035" max="1035" width="15" style="2" bestFit="1" customWidth="1"/>
    <col min="1036" max="1036" width="13.6640625" style="2" bestFit="1" customWidth="1"/>
    <col min="1037" max="1280" width="9.109375" style="2"/>
    <col min="1281" max="1281" width="34.33203125" style="2" bestFit="1" customWidth="1"/>
    <col min="1282" max="1282" width="10.109375" style="2" customWidth="1"/>
    <col min="1283" max="1283" width="7" style="2" customWidth="1"/>
    <col min="1284" max="1284" width="47" style="2" customWidth="1"/>
    <col min="1285" max="1285" width="26" style="2" customWidth="1"/>
    <col min="1286" max="1286" width="7" style="2" bestFit="1" customWidth="1"/>
    <col min="1287" max="1289" width="9.109375" style="2"/>
    <col min="1290" max="1290" width="14.33203125" style="2" bestFit="1" customWidth="1"/>
    <col min="1291" max="1291" width="15" style="2" bestFit="1" customWidth="1"/>
    <col min="1292" max="1292" width="13.6640625" style="2" bestFit="1" customWidth="1"/>
    <col min="1293" max="1536" width="9.109375" style="2"/>
    <col min="1537" max="1537" width="34.33203125" style="2" bestFit="1" customWidth="1"/>
    <col min="1538" max="1538" width="10.109375" style="2" customWidth="1"/>
    <col min="1539" max="1539" width="7" style="2" customWidth="1"/>
    <col min="1540" max="1540" width="47" style="2" customWidth="1"/>
    <col min="1541" max="1541" width="26" style="2" customWidth="1"/>
    <col min="1542" max="1542" width="7" style="2" bestFit="1" customWidth="1"/>
    <col min="1543" max="1545" width="9.109375" style="2"/>
    <col min="1546" max="1546" width="14.33203125" style="2" bestFit="1" customWidth="1"/>
    <col min="1547" max="1547" width="15" style="2" bestFit="1" customWidth="1"/>
    <col min="1548" max="1548" width="13.6640625" style="2" bestFit="1" customWidth="1"/>
    <col min="1549" max="1792" width="9.109375" style="2"/>
    <col min="1793" max="1793" width="34.33203125" style="2" bestFit="1" customWidth="1"/>
    <col min="1794" max="1794" width="10.109375" style="2" customWidth="1"/>
    <col min="1795" max="1795" width="7" style="2" customWidth="1"/>
    <col min="1796" max="1796" width="47" style="2" customWidth="1"/>
    <col min="1797" max="1797" width="26" style="2" customWidth="1"/>
    <col min="1798" max="1798" width="7" style="2" bestFit="1" customWidth="1"/>
    <col min="1799" max="1801" width="9.109375" style="2"/>
    <col min="1802" max="1802" width="14.33203125" style="2" bestFit="1" customWidth="1"/>
    <col min="1803" max="1803" width="15" style="2" bestFit="1" customWidth="1"/>
    <col min="1804" max="1804" width="13.6640625" style="2" bestFit="1" customWidth="1"/>
    <col min="1805" max="2048" width="9.109375" style="2"/>
    <col min="2049" max="2049" width="34.33203125" style="2" bestFit="1" customWidth="1"/>
    <col min="2050" max="2050" width="10.109375" style="2" customWidth="1"/>
    <col min="2051" max="2051" width="7" style="2" customWidth="1"/>
    <col min="2052" max="2052" width="47" style="2" customWidth="1"/>
    <col min="2053" max="2053" width="26" style="2" customWidth="1"/>
    <col min="2054" max="2054" width="7" style="2" bestFit="1" customWidth="1"/>
    <col min="2055" max="2057" width="9.109375" style="2"/>
    <col min="2058" max="2058" width="14.33203125" style="2" bestFit="1" customWidth="1"/>
    <col min="2059" max="2059" width="15" style="2" bestFit="1" customWidth="1"/>
    <col min="2060" max="2060" width="13.6640625" style="2" bestFit="1" customWidth="1"/>
    <col min="2061" max="2304" width="9.109375" style="2"/>
    <col min="2305" max="2305" width="34.33203125" style="2" bestFit="1" customWidth="1"/>
    <col min="2306" max="2306" width="10.109375" style="2" customWidth="1"/>
    <col min="2307" max="2307" width="7" style="2" customWidth="1"/>
    <col min="2308" max="2308" width="47" style="2" customWidth="1"/>
    <col min="2309" max="2309" width="26" style="2" customWidth="1"/>
    <col min="2310" max="2310" width="7" style="2" bestFit="1" customWidth="1"/>
    <col min="2311" max="2313" width="9.109375" style="2"/>
    <col min="2314" max="2314" width="14.33203125" style="2" bestFit="1" customWidth="1"/>
    <col min="2315" max="2315" width="15" style="2" bestFit="1" customWidth="1"/>
    <col min="2316" max="2316" width="13.6640625" style="2" bestFit="1" customWidth="1"/>
    <col min="2317" max="2560" width="9.109375" style="2"/>
    <col min="2561" max="2561" width="34.33203125" style="2" bestFit="1" customWidth="1"/>
    <col min="2562" max="2562" width="10.109375" style="2" customWidth="1"/>
    <col min="2563" max="2563" width="7" style="2" customWidth="1"/>
    <col min="2564" max="2564" width="47" style="2" customWidth="1"/>
    <col min="2565" max="2565" width="26" style="2" customWidth="1"/>
    <col min="2566" max="2566" width="7" style="2" bestFit="1" customWidth="1"/>
    <col min="2567" max="2569" width="9.109375" style="2"/>
    <col min="2570" max="2570" width="14.33203125" style="2" bestFit="1" customWidth="1"/>
    <col min="2571" max="2571" width="15" style="2" bestFit="1" customWidth="1"/>
    <col min="2572" max="2572" width="13.6640625" style="2" bestFit="1" customWidth="1"/>
    <col min="2573" max="2816" width="9.109375" style="2"/>
    <col min="2817" max="2817" width="34.33203125" style="2" bestFit="1" customWidth="1"/>
    <col min="2818" max="2818" width="10.109375" style="2" customWidth="1"/>
    <col min="2819" max="2819" width="7" style="2" customWidth="1"/>
    <col min="2820" max="2820" width="47" style="2" customWidth="1"/>
    <col min="2821" max="2821" width="26" style="2" customWidth="1"/>
    <col min="2822" max="2822" width="7" style="2" bestFit="1" customWidth="1"/>
    <col min="2823" max="2825" width="9.109375" style="2"/>
    <col min="2826" max="2826" width="14.33203125" style="2" bestFit="1" customWidth="1"/>
    <col min="2827" max="2827" width="15" style="2" bestFit="1" customWidth="1"/>
    <col min="2828" max="2828" width="13.6640625" style="2" bestFit="1" customWidth="1"/>
    <col min="2829" max="3072" width="9.109375" style="2"/>
    <col min="3073" max="3073" width="34.33203125" style="2" bestFit="1" customWidth="1"/>
    <col min="3074" max="3074" width="10.109375" style="2" customWidth="1"/>
    <col min="3075" max="3075" width="7" style="2" customWidth="1"/>
    <col min="3076" max="3076" width="47" style="2" customWidth="1"/>
    <col min="3077" max="3077" width="26" style="2" customWidth="1"/>
    <col min="3078" max="3078" width="7" style="2" bestFit="1" customWidth="1"/>
    <col min="3079" max="3081" width="9.109375" style="2"/>
    <col min="3082" max="3082" width="14.33203125" style="2" bestFit="1" customWidth="1"/>
    <col min="3083" max="3083" width="15" style="2" bestFit="1" customWidth="1"/>
    <col min="3084" max="3084" width="13.6640625" style="2" bestFit="1" customWidth="1"/>
    <col min="3085" max="3328" width="9.109375" style="2"/>
    <col min="3329" max="3329" width="34.33203125" style="2" bestFit="1" customWidth="1"/>
    <col min="3330" max="3330" width="10.109375" style="2" customWidth="1"/>
    <col min="3331" max="3331" width="7" style="2" customWidth="1"/>
    <col min="3332" max="3332" width="47" style="2" customWidth="1"/>
    <col min="3333" max="3333" width="26" style="2" customWidth="1"/>
    <col min="3334" max="3334" width="7" style="2" bestFit="1" customWidth="1"/>
    <col min="3335" max="3337" width="9.109375" style="2"/>
    <col min="3338" max="3338" width="14.33203125" style="2" bestFit="1" customWidth="1"/>
    <col min="3339" max="3339" width="15" style="2" bestFit="1" customWidth="1"/>
    <col min="3340" max="3340" width="13.6640625" style="2" bestFit="1" customWidth="1"/>
    <col min="3341" max="3584" width="9.109375" style="2"/>
    <col min="3585" max="3585" width="34.33203125" style="2" bestFit="1" customWidth="1"/>
    <col min="3586" max="3586" width="10.109375" style="2" customWidth="1"/>
    <col min="3587" max="3587" width="7" style="2" customWidth="1"/>
    <col min="3588" max="3588" width="47" style="2" customWidth="1"/>
    <col min="3589" max="3589" width="26" style="2" customWidth="1"/>
    <col min="3590" max="3590" width="7" style="2" bestFit="1" customWidth="1"/>
    <col min="3591" max="3593" width="9.109375" style="2"/>
    <col min="3594" max="3594" width="14.33203125" style="2" bestFit="1" customWidth="1"/>
    <col min="3595" max="3595" width="15" style="2" bestFit="1" customWidth="1"/>
    <col min="3596" max="3596" width="13.6640625" style="2" bestFit="1" customWidth="1"/>
    <col min="3597" max="3840" width="9.109375" style="2"/>
    <col min="3841" max="3841" width="34.33203125" style="2" bestFit="1" customWidth="1"/>
    <col min="3842" max="3842" width="10.109375" style="2" customWidth="1"/>
    <col min="3843" max="3843" width="7" style="2" customWidth="1"/>
    <col min="3844" max="3844" width="47" style="2" customWidth="1"/>
    <col min="3845" max="3845" width="26" style="2" customWidth="1"/>
    <col min="3846" max="3846" width="7" style="2" bestFit="1" customWidth="1"/>
    <col min="3847" max="3849" width="9.109375" style="2"/>
    <col min="3850" max="3850" width="14.33203125" style="2" bestFit="1" customWidth="1"/>
    <col min="3851" max="3851" width="15" style="2" bestFit="1" customWidth="1"/>
    <col min="3852" max="3852" width="13.6640625" style="2" bestFit="1" customWidth="1"/>
    <col min="3853" max="4096" width="9.109375" style="2"/>
    <col min="4097" max="4097" width="34.33203125" style="2" bestFit="1" customWidth="1"/>
    <col min="4098" max="4098" width="10.109375" style="2" customWidth="1"/>
    <col min="4099" max="4099" width="7" style="2" customWidth="1"/>
    <col min="4100" max="4100" width="47" style="2" customWidth="1"/>
    <col min="4101" max="4101" width="26" style="2" customWidth="1"/>
    <col min="4102" max="4102" width="7" style="2" bestFit="1" customWidth="1"/>
    <col min="4103" max="4105" width="9.109375" style="2"/>
    <col min="4106" max="4106" width="14.33203125" style="2" bestFit="1" customWidth="1"/>
    <col min="4107" max="4107" width="15" style="2" bestFit="1" customWidth="1"/>
    <col min="4108" max="4108" width="13.6640625" style="2" bestFit="1" customWidth="1"/>
    <col min="4109" max="4352" width="9.109375" style="2"/>
    <col min="4353" max="4353" width="34.33203125" style="2" bestFit="1" customWidth="1"/>
    <col min="4354" max="4354" width="10.109375" style="2" customWidth="1"/>
    <col min="4355" max="4355" width="7" style="2" customWidth="1"/>
    <col min="4356" max="4356" width="47" style="2" customWidth="1"/>
    <col min="4357" max="4357" width="26" style="2" customWidth="1"/>
    <col min="4358" max="4358" width="7" style="2" bestFit="1" customWidth="1"/>
    <col min="4359" max="4361" width="9.109375" style="2"/>
    <col min="4362" max="4362" width="14.33203125" style="2" bestFit="1" customWidth="1"/>
    <col min="4363" max="4363" width="15" style="2" bestFit="1" customWidth="1"/>
    <col min="4364" max="4364" width="13.6640625" style="2" bestFit="1" customWidth="1"/>
    <col min="4365" max="4608" width="9.109375" style="2"/>
    <col min="4609" max="4609" width="34.33203125" style="2" bestFit="1" customWidth="1"/>
    <col min="4610" max="4610" width="10.109375" style="2" customWidth="1"/>
    <col min="4611" max="4611" width="7" style="2" customWidth="1"/>
    <col min="4612" max="4612" width="47" style="2" customWidth="1"/>
    <col min="4613" max="4613" width="26" style="2" customWidth="1"/>
    <col min="4614" max="4614" width="7" style="2" bestFit="1" customWidth="1"/>
    <col min="4615" max="4617" width="9.109375" style="2"/>
    <col min="4618" max="4618" width="14.33203125" style="2" bestFit="1" customWidth="1"/>
    <col min="4619" max="4619" width="15" style="2" bestFit="1" customWidth="1"/>
    <col min="4620" max="4620" width="13.6640625" style="2" bestFit="1" customWidth="1"/>
    <col min="4621" max="4864" width="9.109375" style="2"/>
    <col min="4865" max="4865" width="34.33203125" style="2" bestFit="1" customWidth="1"/>
    <col min="4866" max="4866" width="10.109375" style="2" customWidth="1"/>
    <col min="4867" max="4867" width="7" style="2" customWidth="1"/>
    <col min="4868" max="4868" width="47" style="2" customWidth="1"/>
    <col min="4869" max="4869" width="26" style="2" customWidth="1"/>
    <col min="4870" max="4870" width="7" style="2" bestFit="1" customWidth="1"/>
    <col min="4871" max="4873" width="9.109375" style="2"/>
    <col min="4874" max="4874" width="14.33203125" style="2" bestFit="1" customWidth="1"/>
    <col min="4875" max="4875" width="15" style="2" bestFit="1" customWidth="1"/>
    <col min="4876" max="4876" width="13.6640625" style="2" bestFit="1" customWidth="1"/>
    <col min="4877" max="5120" width="9.109375" style="2"/>
    <col min="5121" max="5121" width="34.33203125" style="2" bestFit="1" customWidth="1"/>
    <col min="5122" max="5122" width="10.109375" style="2" customWidth="1"/>
    <col min="5123" max="5123" width="7" style="2" customWidth="1"/>
    <col min="5124" max="5124" width="47" style="2" customWidth="1"/>
    <col min="5125" max="5125" width="26" style="2" customWidth="1"/>
    <col min="5126" max="5126" width="7" style="2" bestFit="1" customWidth="1"/>
    <col min="5127" max="5129" width="9.109375" style="2"/>
    <col min="5130" max="5130" width="14.33203125" style="2" bestFit="1" customWidth="1"/>
    <col min="5131" max="5131" width="15" style="2" bestFit="1" customWidth="1"/>
    <col min="5132" max="5132" width="13.6640625" style="2" bestFit="1" customWidth="1"/>
    <col min="5133" max="5376" width="9.109375" style="2"/>
    <col min="5377" max="5377" width="34.33203125" style="2" bestFit="1" customWidth="1"/>
    <col min="5378" max="5378" width="10.109375" style="2" customWidth="1"/>
    <col min="5379" max="5379" width="7" style="2" customWidth="1"/>
    <col min="5380" max="5380" width="47" style="2" customWidth="1"/>
    <col min="5381" max="5381" width="26" style="2" customWidth="1"/>
    <col min="5382" max="5382" width="7" style="2" bestFit="1" customWidth="1"/>
    <col min="5383" max="5385" width="9.109375" style="2"/>
    <col min="5386" max="5386" width="14.33203125" style="2" bestFit="1" customWidth="1"/>
    <col min="5387" max="5387" width="15" style="2" bestFit="1" customWidth="1"/>
    <col min="5388" max="5388" width="13.6640625" style="2" bestFit="1" customWidth="1"/>
    <col min="5389" max="5632" width="9.109375" style="2"/>
    <col min="5633" max="5633" width="34.33203125" style="2" bestFit="1" customWidth="1"/>
    <col min="5634" max="5634" width="10.109375" style="2" customWidth="1"/>
    <col min="5635" max="5635" width="7" style="2" customWidth="1"/>
    <col min="5636" max="5636" width="47" style="2" customWidth="1"/>
    <col min="5637" max="5637" width="26" style="2" customWidth="1"/>
    <col min="5638" max="5638" width="7" style="2" bestFit="1" customWidth="1"/>
    <col min="5639" max="5641" width="9.109375" style="2"/>
    <col min="5642" max="5642" width="14.33203125" style="2" bestFit="1" customWidth="1"/>
    <col min="5643" max="5643" width="15" style="2" bestFit="1" customWidth="1"/>
    <col min="5644" max="5644" width="13.6640625" style="2" bestFit="1" customWidth="1"/>
    <col min="5645" max="5888" width="9.109375" style="2"/>
    <col min="5889" max="5889" width="34.33203125" style="2" bestFit="1" customWidth="1"/>
    <col min="5890" max="5890" width="10.109375" style="2" customWidth="1"/>
    <col min="5891" max="5891" width="7" style="2" customWidth="1"/>
    <col min="5892" max="5892" width="47" style="2" customWidth="1"/>
    <col min="5893" max="5893" width="26" style="2" customWidth="1"/>
    <col min="5894" max="5894" width="7" style="2" bestFit="1" customWidth="1"/>
    <col min="5895" max="5897" width="9.109375" style="2"/>
    <col min="5898" max="5898" width="14.33203125" style="2" bestFit="1" customWidth="1"/>
    <col min="5899" max="5899" width="15" style="2" bestFit="1" customWidth="1"/>
    <col min="5900" max="5900" width="13.6640625" style="2" bestFit="1" customWidth="1"/>
    <col min="5901" max="6144" width="9.109375" style="2"/>
    <col min="6145" max="6145" width="34.33203125" style="2" bestFit="1" customWidth="1"/>
    <col min="6146" max="6146" width="10.109375" style="2" customWidth="1"/>
    <col min="6147" max="6147" width="7" style="2" customWidth="1"/>
    <col min="6148" max="6148" width="47" style="2" customWidth="1"/>
    <col min="6149" max="6149" width="26" style="2" customWidth="1"/>
    <col min="6150" max="6150" width="7" style="2" bestFit="1" customWidth="1"/>
    <col min="6151" max="6153" width="9.109375" style="2"/>
    <col min="6154" max="6154" width="14.33203125" style="2" bestFit="1" customWidth="1"/>
    <col min="6155" max="6155" width="15" style="2" bestFit="1" customWidth="1"/>
    <col min="6156" max="6156" width="13.6640625" style="2" bestFit="1" customWidth="1"/>
    <col min="6157" max="6400" width="9.109375" style="2"/>
    <col min="6401" max="6401" width="34.33203125" style="2" bestFit="1" customWidth="1"/>
    <col min="6402" max="6402" width="10.109375" style="2" customWidth="1"/>
    <col min="6403" max="6403" width="7" style="2" customWidth="1"/>
    <col min="6404" max="6404" width="47" style="2" customWidth="1"/>
    <col min="6405" max="6405" width="26" style="2" customWidth="1"/>
    <col min="6406" max="6406" width="7" style="2" bestFit="1" customWidth="1"/>
    <col min="6407" max="6409" width="9.109375" style="2"/>
    <col min="6410" max="6410" width="14.33203125" style="2" bestFit="1" customWidth="1"/>
    <col min="6411" max="6411" width="15" style="2" bestFit="1" customWidth="1"/>
    <col min="6412" max="6412" width="13.6640625" style="2" bestFit="1" customWidth="1"/>
    <col min="6413" max="6656" width="9.109375" style="2"/>
    <col min="6657" max="6657" width="34.33203125" style="2" bestFit="1" customWidth="1"/>
    <col min="6658" max="6658" width="10.109375" style="2" customWidth="1"/>
    <col min="6659" max="6659" width="7" style="2" customWidth="1"/>
    <col min="6660" max="6660" width="47" style="2" customWidth="1"/>
    <col min="6661" max="6661" width="26" style="2" customWidth="1"/>
    <col min="6662" max="6662" width="7" style="2" bestFit="1" customWidth="1"/>
    <col min="6663" max="6665" width="9.109375" style="2"/>
    <col min="6666" max="6666" width="14.33203125" style="2" bestFit="1" customWidth="1"/>
    <col min="6667" max="6667" width="15" style="2" bestFit="1" customWidth="1"/>
    <col min="6668" max="6668" width="13.6640625" style="2" bestFit="1" customWidth="1"/>
    <col min="6669" max="6912" width="9.109375" style="2"/>
    <col min="6913" max="6913" width="34.33203125" style="2" bestFit="1" customWidth="1"/>
    <col min="6914" max="6914" width="10.109375" style="2" customWidth="1"/>
    <col min="6915" max="6915" width="7" style="2" customWidth="1"/>
    <col min="6916" max="6916" width="47" style="2" customWidth="1"/>
    <col min="6917" max="6917" width="26" style="2" customWidth="1"/>
    <col min="6918" max="6918" width="7" style="2" bestFit="1" customWidth="1"/>
    <col min="6919" max="6921" width="9.109375" style="2"/>
    <col min="6922" max="6922" width="14.33203125" style="2" bestFit="1" customWidth="1"/>
    <col min="6923" max="6923" width="15" style="2" bestFit="1" customWidth="1"/>
    <col min="6924" max="6924" width="13.6640625" style="2" bestFit="1" customWidth="1"/>
    <col min="6925" max="7168" width="9.109375" style="2"/>
    <col min="7169" max="7169" width="34.33203125" style="2" bestFit="1" customWidth="1"/>
    <col min="7170" max="7170" width="10.109375" style="2" customWidth="1"/>
    <col min="7171" max="7171" width="7" style="2" customWidth="1"/>
    <col min="7172" max="7172" width="47" style="2" customWidth="1"/>
    <col min="7173" max="7173" width="26" style="2" customWidth="1"/>
    <col min="7174" max="7174" width="7" style="2" bestFit="1" customWidth="1"/>
    <col min="7175" max="7177" width="9.109375" style="2"/>
    <col min="7178" max="7178" width="14.33203125" style="2" bestFit="1" customWidth="1"/>
    <col min="7179" max="7179" width="15" style="2" bestFit="1" customWidth="1"/>
    <col min="7180" max="7180" width="13.6640625" style="2" bestFit="1" customWidth="1"/>
    <col min="7181" max="7424" width="9.109375" style="2"/>
    <col min="7425" max="7425" width="34.33203125" style="2" bestFit="1" customWidth="1"/>
    <col min="7426" max="7426" width="10.109375" style="2" customWidth="1"/>
    <col min="7427" max="7427" width="7" style="2" customWidth="1"/>
    <col min="7428" max="7428" width="47" style="2" customWidth="1"/>
    <col min="7429" max="7429" width="26" style="2" customWidth="1"/>
    <col min="7430" max="7430" width="7" style="2" bestFit="1" customWidth="1"/>
    <col min="7431" max="7433" width="9.109375" style="2"/>
    <col min="7434" max="7434" width="14.33203125" style="2" bestFit="1" customWidth="1"/>
    <col min="7435" max="7435" width="15" style="2" bestFit="1" customWidth="1"/>
    <col min="7436" max="7436" width="13.6640625" style="2" bestFit="1" customWidth="1"/>
    <col min="7437" max="7680" width="9.109375" style="2"/>
    <col min="7681" max="7681" width="34.33203125" style="2" bestFit="1" customWidth="1"/>
    <col min="7682" max="7682" width="10.109375" style="2" customWidth="1"/>
    <col min="7683" max="7683" width="7" style="2" customWidth="1"/>
    <col min="7684" max="7684" width="47" style="2" customWidth="1"/>
    <col min="7685" max="7685" width="26" style="2" customWidth="1"/>
    <col min="7686" max="7686" width="7" style="2" bestFit="1" customWidth="1"/>
    <col min="7687" max="7689" width="9.109375" style="2"/>
    <col min="7690" max="7690" width="14.33203125" style="2" bestFit="1" customWidth="1"/>
    <col min="7691" max="7691" width="15" style="2" bestFit="1" customWidth="1"/>
    <col min="7692" max="7692" width="13.6640625" style="2" bestFit="1" customWidth="1"/>
    <col min="7693" max="7936" width="9.109375" style="2"/>
    <col min="7937" max="7937" width="34.33203125" style="2" bestFit="1" customWidth="1"/>
    <col min="7938" max="7938" width="10.109375" style="2" customWidth="1"/>
    <col min="7939" max="7939" width="7" style="2" customWidth="1"/>
    <col min="7940" max="7940" width="47" style="2" customWidth="1"/>
    <col min="7941" max="7941" width="26" style="2" customWidth="1"/>
    <col min="7942" max="7942" width="7" style="2" bestFit="1" customWidth="1"/>
    <col min="7943" max="7945" width="9.109375" style="2"/>
    <col min="7946" max="7946" width="14.33203125" style="2" bestFit="1" customWidth="1"/>
    <col min="7947" max="7947" width="15" style="2" bestFit="1" customWidth="1"/>
    <col min="7948" max="7948" width="13.6640625" style="2" bestFit="1" customWidth="1"/>
    <col min="7949" max="8192" width="9.109375" style="2"/>
    <col min="8193" max="8193" width="34.33203125" style="2" bestFit="1" customWidth="1"/>
    <col min="8194" max="8194" width="10.109375" style="2" customWidth="1"/>
    <col min="8195" max="8195" width="7" style="2" customWidth="1"/>
    <col min="8196" max="8196" width="47" style="2" customWidth="1"/>
    <col min="8197" max="8197" width="26" style="2" customWidth="1"/>
    <col min="8198" max="8198" width="7" style="2" bestFit="1" customWidth="1"/>
    <col min="8199" max="8201" width="9.109375" style="2"/>
    <col min="8202" max="8202" width="14.33203125" style="2" bestFit="1" customWidth="1"/>
    <col min="8203" max="8203" width="15" style="2" bestFit="1" customWidth="1"/>
    <col min="8204" max="8204" width="13.6640625" style="2" bestFit="1" customWidth="1"/>
    <col min="8205" max="8448" width="9.109375" style="2"/>
    <col min="8449" max="8449" width="34.33203125" style="2" bestFit="1" customWidth="1"/>
    <col min="8450" max="8450" width="10.109375" style="2" customWidth="1"/>
    <col min="8451" max="8451" width="7" style="2" customWidth="1"/>
    <col min="8452" max="8452" width="47" style="2" customWidth="1"/>
    <col min="8453" max="8453" width="26" style="2" customWidth="1"/>
    <col min="8454" max="8454" width="7" style="2" bestFit="1" customWidth="1"/>
    <col min="8455" max="8457" width="9.109375" style="2"/>
    <col min="8458" max="8458" width="14.33203125" style="2" bestFit="1" customWidth="1"/>
    <col min="8459" max="8459" width="15" style="2" bestFit="1" customWidth="1"/>
    <col min="8460" max="8460" width="13.6640625" style="2" bestFit="1" customWidth="1"/>
    <col min="8461" max="8704" width="9.109375" style="2"/>
    <col min="8705" max="8705" width="34.33203125" style="2" bestFit="1" customWidth="1"/>
    <col min="8706" max="8706" width="10.109375" style="2" customWidth="1"/>
    <col min="8707" max="8707" width="7" style="2" customWidth="1"/>
    <col min="8708" max="8708" width="47" style="2" customWidth="1"/>
    <col min="8709" max="8709" width="26" style="2" customWidth="1"/>
    <col min="8710" max="8710" width="7" style="2" bestFit="1" customWidth="1"/>
    <col min="8711" max="8713" width="9.109375" style="2"/>
    <col min="8714" max="8714" width="14.33203125" style="2" bestFit="1" customWidth="1"/>
    <col min="8715" max="8715" width="15" style="2" bestFit="1" customWidth="1"/>
    <col min="8716" max="8716" width="13.6640625" style="2" bestFit="1" customWidth="1"/>
    <col min="8717" max="8960" width="9.109375" style="2"/>
    <col min="8961" max="8961" width="34.33203125" style="2" bestFit="1" customWidth="1"/>
    <col min="8962" max="8962" width="10.109375" style="2" customWidth="1"/>
    <col min="8963" max="8963" width="7" style="2" customWidth="1"/>
    <col min="8964" max="8964" width="47" style="2" customWidth="1"/>
    <col min="8965" max="8965" width="26" style="2" customWidth="1"/>
    <col min="8966" max="8966" width="7" style="2" bestFit="1" customWidth="1"/>
    <col min="8967" max="8969" width="9.109375" style="2"/>
    <col min="8970" max="8970" width="14.33203125" style="2" bestFit="1" customWidth="1"/>
    <col min="8971" max="8971" width="15" style="2" bestFit="1" customWidth="1"/>
    <col min="8972" max="8972" width="13.6640625" style="2" bestFit="1" customWidth="1"/>
    <col min="8973" max="9216" width="9.109375" style="2"/>
    <col min="9217" max="9217" width="34.33203125" style="2" bestFit="1" customWidth="1"/>
    <col min="9218" max="9218" width="10.109375" style="2" customWidth="1"/>
    <col min="9219" max="9219" width="7" style="2" customWidth="1"/>
    <col min="9220" max="9220" width="47" style="2" customWidth="1"/>
    <col min="9221" max="9221" width="26" style="2" customWidth="1"/>
    <col min="9222" max="9222" width="7" style="2" bestFit="1" customWidth="1"/>
    <col min="9223" max="9225" width="9.109375" style="2"/>
    <col min="9226" max="9226" width="14.33203125" style="2" bestFit="1" customWidth="1"/>
    <col min="9227" max="9227" width="15" style="2" bestFit="1" customWidth="1"/>
    <col min="9228" max="9228" width="13.6640625" style="2" bestFit="1" customWidth="1"/>
    <col min="9229" max="9472" width="9.109375" style="2"/>
    <col min="9473" max="9473" width="34.33203125" style="2" bestFit="1" customWidth="1"/>
    <col min="9474" max="9474" width="10.109375" style="2" customWidth="1"/>
    <col min="9475" max="9475" width="7" style="2" customWidth="1"/>
    <col min="9476" max="9476" width="47" style="2" customWidth="1"/>
    <col min="9477" max="9477" width="26" style="2" customWidth="1"/>
    <col min="9478" max="9478" width="7" style="2" bestFit="1" customWidth="1"/>
    <col min="9479" max="9481" width="9.109375" style="2"/>
    <col min="9482" max="9482" width="14.33203125" style="2" bestFit="1" customWidth="1"/>
    <col min="9483" max="9483" width="15" style="2" bestFit="1" customWidth="1"/>
    <col min="9484" max="9484" width="13.6640625" style="2" bestFit="1" customWidth="1"/>
    <col min="9485" max="9728" width="9.109375" style="2"/>
    <col min="9729" max="9729" width="34.33203125" style="2" bestFit="1" customWidth="1"/>
    <col min="9730" max="9730" width="10.109375" style="2" customWidth="1"/>
    <col min="9731" max="9731" width="7" style="2" customWidth="1"/>
    <col min="9732" max="9732" width="47" style="2" customWidth="1"/>
    <col min="9733" max="9733" width="26" style="2" customWidth="1"/>
    <col min="9734" max="9734" width="7" style="2" bestFit="1" customWidth="1"/>
    <col min="9735" max="9737" width="9.109375" style="2"/>
    <col min="9738" max="9738" width="14.33203125" style="2" bestFit="1" customWidth="1"/>
    <col min="9739" max="9739" width="15" style="2" bestFit="1" customWidth="1"/>
    <col min="9740" max="9740" width="13.6640625" style="2" bestFit="1" customWidth="1"/>
    <col min="9741" max="9984" width="9.109375" style="2"/>
    <col min="9985" max="9985" width="34.33203125" style="2" bestFit="1" customWidth="1"/>
    <col min="9986" max="9986" width="10.109375" style="2" customWidth="1"/>
    <col min="9987" max="9987" width="7" style="2" customWidth="1"/>
    <col min="9988" max="9988" width="47" style="2" customWidth="1"/>
    <col min="9989" max="9989" width="26" style="2" customWidth="1"/>
    <col min="9990" max="9990" width="7" style="2" bestFit="1" customWidth="1"/>
    <col min="9991" max="9993" width="9.109375" style="2"/>
    <col min="9994" max="9994" width="14.33203125" style="2" bestFit="1" customWidth="1"/>
    <col min="9995" max="9995" width="15" style="2" bestFit="1" customWidth="1"/>
    <col min="9996" max="9996" width="13.6640625" style="2" bestFit="1" customWidth="1"/>
    <col min="9997" max="10240" width="9.109375" style="2"/>
    <col min="10241" max="10241" width="34.33203125" style="2" bestFit="1" customWidth="1"/>
    <col min="10242" max="10242" width="10.109375" style="2" customWidth="1"/>
    <col min="10243" max="10243" width="7" style="2" customWidth="1"/>
    <col min="10244" max="10244" width="47" style="2" customWidth="1"/>
    <col min="10245" max="10245" width="26" style="2" customWidth="1"/>
    <col min="10246" max="10246" width="7" style="2" bestFit="1" customWidth="1"/>
    <col min="10247" max="10249" width="9.109375" style="2"/>
    <col min="10250" max="10250" width="14.33203125" style="2" bestFit="1" customWidth="1"/>
    <col min="10251" max="10251" width="15" style="2" bestFit="1" customWidth="1"/>
    <col min="10252" max="10252" width="13.6640625" style="2" bestFit="1" customWidth="1"/>
    <col min="10253" max="10496" width="9.109375" style="2"/>
    <col min="10497" max="10497" width="34.33203125" style="2" bestFit="1" customWidth="1"/>
    <col min="10498" max="10498" width="10.109375" style="2" customWidth="1"/>
    <col min="10499" max="10499" width="7" style="2" customWidth="1"/>
    <col min="10500" max="10500" width="47" style="2" customWidth="1"/>
    <col min="10501" max="10501" width="26" style="2" customWidth="1"/>
    <col min="10502" max="10502" width="7" style="2" bestFit="1" customWidth="1"/>
    <col min="10503" max="10505" width="9.109375" style="2"/>
    <col min="10506" max="10506" width="14.33203125" style="2" bestFit="1" customWidth="1"/>
    <col min="10507" max="10507" width="15" style="2" bestFit="1" customWidth="1"/>
    <col min="10508" max="10508" width="13.6640625" style="2" bestFit="1" customWidth="1"/>
    <col min="10509" max="10752" width="9.109375" style="2"/>
    <col min="10753" max="10753" width="34.33203125" style="2" bestFit="1" customWidth="1"/>
    <col min="10754" max="10754" width="10.109375" style="2" customWidth="1"/>
    <col min="10755" max="10755" width="7" style="2" customWidth="1"/>
    <col min="10756" max="10756" width="47" style="2" customWidth="1"/>
    <col min="10757" max="10757" width="26" style="2" customWidth="1"/>
    <col min="10758" max="10758" width="7" style="2" bestFit="1" customWidth="1"/>
    <col min="10759" max="10761" width="9.109375" style="2"/>
    <col min="10762" max="10762" width="14.33203125" style="2" bestFit="1" customWidth="1"/>
    <col min="10763" max="10763" width="15" style="2" bestFit="1" customWidth="1"/>
    <col min="10764" max="10764" width="13.6640625" style="2" bestFit="1" customWidth="1"/>
    <col min="10765" max="11008" width="9.109375" style="2"/>
    <col min="11009" max="11009" width="34.33203125" style="2" bestFit="1" customWidth="1"/>
    <col min="11010" max="11010" width="10.109375" style="2" customWidth="1"/>
    <col min="11011" max="11011" width="7" style="2" customWidth="1"/>
    <col min="11012" max="11012" width="47" style="2" customWidth="1"/>
    <col min="11013" max="11013" width="26" style="2" customWidth="1"/>
    <col min="11014" max="11014" width="7" style="2" bestFit="1" customWidth="1"/>
    <col min="11015" max="11017" width="9.109375" style="2"/>
    <col min="11018" max="11018" width="14.33203125" style="2" bestFit="1" customWidth="1"/>
    <col min="11019" max="11019" width="15" style="2" bestFit="1" customWidth="1"/>
    <col min="11020" max="11020" width="13.6640625" style="2" bestFit="1" customWidth="1"/>
    <col min="11021" max="11264" width="9.109375" style="2"/>
    <col min="11265" max="11265" width="34.33203125" style="2" bestFit="1" customWidth="1"/>
    <col min="11266" max="11266" width="10.109375" style="2" customWidth="1"/>
    <col min="11267" max="11267" width="7" style="2" customWidth="1"/>
    <col min="11268" max="11268" width="47" style="2" customWidth="1"/>
    <col min="11269" max="11269" width="26" style="2" customWidth="1"/>
    <col min="11270" max="11270" width="7" style="2" bestFit="1" customWidth="1"/>
    <col min="11271" max="11273" width="9.109375" style="2"/>
    <col min="11274" max="11274" width="14.33203125" style="2" bestFit="1" customWidth="1"/>
    <col min="11275" max="11275" width="15" style="2" bestFit="1" customWidth="1"/>
    <col min="11276" max="11276" width="13.6640625" style="2" bestFit="1" customWidth="1"/>
    <col min="11277" max="11520" width="9.109375" style="2"/>
    <col min="11521" max="11521" width="34.33203125" style="2" bestFit="1" customWidth="1"/>
    <col min="11522" max="11522" width="10.109375" style="2" customWidth="1"/>
    <col min="11523" max="11523" width="7" style="2" customWidth="1"/>
    <col min="11524" max="11524" width="47" style="2" customWidth="1"/>
    <col min="11525" max="11525" width="26" style="2" customWidth="1"/>
    <col min="11526" max="11526" width="7" style="2" bestFit="1" customWidth="1"/>
    <col min="11527" max="11529" width="9.109375" style="2"/>
    <col min="11530" max="11530" width="14.33203125" style="2" bestFit="1" customWidth="1"/>
    <col min="11531" max="11531" width="15" style="2" bestFit="1" customWidth="1"/>
    <col min="11532" max="11532" width="13.6640625" style="2" bestFit="1" customWidth="1"/>
    <col min="11533" max="11776" width="9.109375" style="2"/>
    <col min="11777" max="11777" width="34.33203125" style="2" bestFit="1" customWidth="1"/>
    <col min="11778" max="11778" width="10.109375" style="2" customWidth="1"/>
    <col min="11779" max="11779" width="7" style="2" customWidth="1"/>
    <col min="11780" max="11780" width="47" style="2" customWidth="1"/>
    <col min="11781" max="11781" width="26" style="2" customWidth="1"/>
    <col min="11782" max="11782" width="7" style="2" bestFit="1" customWidth="1"/>
    <col min="11783" max="11785" width="9.109375" style="2"/>
    <col min="11786" max="11786" width="14.33203125" style="2" bestFit="1" customWidth="1"/>
    <col min="11787" max="11787" width="15" style="2" bestFit="1" customWidth="1"/>
    <col min="11788" max="11788" width="13.6640625" style="2" bestFit="1" customWidth="1"/>
    <col min="11789" max="12032" width="9.109375" style="2"/>
    <col min="12033" max="12033" width="34.33203125" style="2" bestFit="1" customWidth="1"/>
    <col min="12034" max="12034" width="10.109375" style="2" customWidth="1"/>
    <col min="12035" max="12035" width="7" style="2" customWidth="1"/>
    <col min="12036" max="12036" width="47" style="2" customWidth="1"/>
    <col min="12037" max="12037" width="26" style="2" customWidth="1"/>
    <col min="12038" max="12038" width="7" style="2" bestFit="1" customWidth="1"/>
    <col min="12039" max="12041" width="9.109375" style="2"/>
    <col min="12042" max="12042" width="14.33203125" style="2" bestFit="1" customWidth="1"/>
    <col min="12043" max="12043" width="15" style="2" bestFit="1" customWidth="1"/>
    <col min="12044" max="12044" width="13.6640625" style="2" bestFit="1" customWidth="1"/>
    <col min="12045" max="12288" width="9.109375" style="2"/>
    <col min="12289" max="12289" width="34.33203125" style="2" bestFit="1" customWidth="1"/>
    <col min="12290" max="12290" width="10.109375" style="2" customWidth="1"/>
    <col min="12291" max="12291" width="7" style="2" customWidth="1"/>
    <col min="12292" max="12292" width="47" style="2" customWidth="1"/>
    <col min="12293" max="12293" width="26" style="2" customWidth="1"/>
    <col min="12294" max="12294" width="7" style="2" bestFit="1" customWidth="1"/>
    <col min="12295" max="12297" width="9.109375" style="2"/>
    <col min="12298" max="12298" width="14.33203125" style="2" bestFit="1" customWidth="1"/>
    <col min="12299" max="12299" width="15" style="2" bestFit="1" customWidth="1"/>
    <col min="12300" max="12300" width="13.6640625" style="2" bestFit="1" customWidth="1"/>
    <col min="12301" max="12544" width="9.109375" style="2"/>
    <col min="12545" max="12545" width="34.33203125" style="2" bestFit="1" customWidth="1"/>
    <col min="12546" max="12546" width="10.109375" style="2" customWidth="1"/>
    <col min="12547" max="12547" width="7" style="2" customWidth="1"/>
    <col min="12548" max="12548" width="47" style="2" customWidth="1"/>
    <col min="12549" max="12549" width="26" style="2" customWidth="1"/>
    <col min="12550" max="12550" width="7" style="2" bestFit="1" customWidth="1"/>
    <col min="12551" max="12553" width="9.109375" style="2"/>
    <col min="12554" max="12554" width="14.33203125" style="2" bestFit="1" customWidth="1"/>
    <col min="12555" max="12555" width="15" style="2" bestFit="1" customWidth="1"/>
    <col min="12556" max="12556" width="13.6640625" style="2" bestFit="1" customWidth="1"/>
    <col min="12557" max="12800" width="9.109375" style="2"/>
    <col min="12801" max="12801" width="34.33203125" style="2" bestFit="1" customWidth="1"/>
    <col min="12802" max="12802" width="10.109375" style="2" customWidth="1"/>
    <col min="12803" max="12803" width="7" style="2" customWidth="1"/>
    <col min="12804" max="12804" width="47" style="2" customWidth="1"/>
    <col min="12805" max="12805" width="26" style="2" customWidth="1"/>
    <col min="12806" max="12806" width="7" style="2" bestFit="1" customWidth="1"/>
    <col min="12807" max="12809" width="9.109375" style="2"/>
    <col min="12810" max="12810" width="14.33203125" style="2" bestFit="1" customWidth="1"/>
    <col min="12811" max="12811" width="15" style="2" bestFit="1" customWidth="1"/>
    <col min="12812" max="12812" width="13.6640625" style="2" bestFit="1" customWidth="1"/>
    <col min="12813" max="13056" width="9.109375" style="2"/>
    <col min="13057" max="13057" width="34.33203125" style="2" bestFit="1" customWidth="1"/>
    <col min="13058" max="13058" width="10.109375" style="2" customWidth="1"/>
    <col min="13059" max="13059" width="7" style="2" customWidth="1"/>
    <col min="13060" max="13060" width="47" style="2" customWidth="1"/>
    <col min="13061" max="13061" width="26" style="2" customWidth="1"/>
    <col min="13062" max="13062" width="7" style="2" bestFit="1" customWidth="1"/>
    <col min="13063" max="13065" width="9.109375" style="2"/>
    <col min="13066" max="13066" width="14.33203125" style="2" bestFit="1" customWidth="1"/>
    <col min="13067" max="13067" width="15" style="2" bestFit="1" customWidth="1"/>
    <col min="13068" max="13068" width="13.6640625" style="2" bestFit="1" customWidth="1"/>
    <col min="13069" max="13312" width="9.109375" style="2"/>
    <col min="13313" max="13313" width="34.33203125" style="2" bestFit="1" customWidth="1"/>
    <col min="13314" max="13314" width="10.109375" style="2" customWidth="1"/>
    <col min="13315" max="13315" width="7" style="2" customWidth="1"/>
    <col min="13316" max="13316" width="47" style="2" customWidth="1"/>
    <col min="13317" max="13317" width="26" style="2" customWidth="1"/>
    <col min="13318" max="13318" width="7" style="2" bestFit="1" customWidth="1"/>
    <col min="13319" max="13321" width="9.109375" style="2"/>
    <col min="13322" max="13322" width="14.33203125" style="2" bestFit="1" customWidth="1"/>
    <col min="13323" max="13323" width="15" style="2" bestFit="1" customWidth="1"/>
    <col min="13324" max="13324" width="13.6640625" style="2" bestFit="1" customWidth="1"/>
    <col min="13325" max="13568" width="9.109375" style="2"/>
    <col min="13569" max="13569" width="34.33203125" style="2" bestFit="1" customWidth="1"/>
    <col min="13570" max="13570" width="10.109375" style="2" customWidth="1"/>
    <col min="13571" max="13571" width="7" style="2" customWidth="1"/>
    <col min="13572" max="13572" width="47" style="2" customWidth="1"/>
    <col min="13573" max="13573" width="26" style="2" customWidth="1"/>
    <col min="13574" max="13574" width="7" style="2" bestFit="1" customWidth="1"/>
    <col min="13575" max="13577" width="9.109375" style="2"/>
    <col min="13578" max="13578" width="14.33203125" style="2" bestFit="1" customWidth="1"/>
    <col min="13579" max="13579" width="15" style="2" bestFit="1" customWidth="1"/>
    <col min="13580" max="13580" width="13.6640625" style="2" bestFit="1" customWidth="1"/>
    <col min="13581" max="13824" width="9.109375" style="2"/>
    <col min="13825" max="13825" width="34.33203125" style="2" bestFit="1" customWidth="1"/>
    <col min="13826" max="13826" width="10.109375" style="2" customWidth="1"/>
    <col min="13827" max="13827" width="7" style="2" customWidth="1"/>
    <col min="13828" max="13828" width="47" style="2" customWidth="1"/>
    <col min="13829" max="13829" width="26" style="2" customWidth="1"/>
    <col min="13830" max="13830" width="7" style="2" bestFit="1" customWidth="1"/>
    <col min="13831" max="13833" width="9.109375" style="2"/>
    <col min="13834" max="13834" width="14.33203125" style="2" bestFit="1" customWidth="1"/>
    <col min="13835" max="13835" width="15" style="2" bestFit="1" customWidth="1"/>
    <col min="13836" max="13836" width="13.6640625" style="2" bestFit="1" customWidth="1"/>
    <col min="13837" max="14080" width="9.109375" style="2"/>
    <col min="14081" max="14081" width="34.33203125" style="2" bestFit="1" customWidth="1"/>
    <col min="14082" max="14082" width="10.109375" style="2" customWidth="1"/>
    <col min="14083" max="14083" width="7" style="2" customWidth="1"/>
    <col min="14084" max="14084" width="47" style="2" customWidth="1"/>
    <col min="14085" max="14085" width="26" style="2" customWidth="1"/>
    <col min="14086" max="14086" width="7" style="2" bestFit="1" customWidth="1"/>
    <col min="14087" max="14089" width="9.109375" style="2"/>
    <col min="14090" max="14090" width="14.33203125" style="2" bestFit="1" customWidth="1"/>
    <col min="14091" max="14091" width="15" style="2" bestFit="1" customWidth="1"/>
    <col min="14092" max="14092" width="13.6640625" style="2" bestFit="1" customWidth="1"/>
    <col min="14093" max="14336" width="9.109375" style="2"/>
    <col min="14337" max="14337" width="34.33203125" style="2" bestFit="1" customWidth="1"/>
    <col min="14338" max="14338" width="10.109375" style="2" customWidth="1"/>
    <col min="14339" max="14339" width="7" style="2" customWidth="1"/>
    <col min="14340" max="14340" width="47" style="2" customWidth="1"/>
    <col min="14341" max="14341" width="26" style="2" customWidth="1"/>
    <col min="14342" max="14342" width="7" style="2" bestFit="1" customWidth="1"/>
    <col min="14343" max="14345" width="9.109375" style="2"/>
    <col min="14346" max="14346" width="14.33203125" style="2" bestFit="1" customWidth="1"/>
    <col min="14347" max="14347" width="15" style="2" bestFit="1" customWidth="1"/>
    <col min="14348" max="14348" width="13.6640625" style="2" bestFit="1" customWidth="1"/>
    <col min="14349" max="14592" width="9.109375" style="2"/>
    <col min="14593" max="14593" width="34.33203125" style="2" bestFit="1" customWidth="1"/>
    <col min="14594" max="14594" width="10.109375" style="2" customWidth="1"/>
    <col min="14595" max="14595" width="7" style="2" customWidth="1"/>
    <col min="14596" max="14596" width="47" style="2" customWidth="1"/>
    <col min="14597" max="14597" width="26" style="2" customWidth="1"/>
    <col min="14598" max="14598" width="7" style="2" bestFit="1" customWidth="1"/>
    <col min="14599" max="14601" width="9.109375" style="2"/>
    <col min="14602" max="14602" width="14.33203125" style="2" bestFit="1" customWidth="1"/>
    <col min="14603" max="14603" width="15" style="2" bestFit="1" customWidth="1"/>
    <col min="14604" max="14604" width="13.6640625" style="2" bestFit="1" customWidth="1"/>
    <col min="14605" max="14848" width="9.109375" style="2"/>
    <col min="14849" max="14849" width="34.33203125" style="2" bestFit="1" customWidth="1"/>
    <col min="14850" max="14850" width="10.109375" style="2" customWidth="1"/>
    <col min="14851" max="14851" width="7" style="2" customWidth="1"/>
    <col min="14852" max="14852" width="47" style="2" customWidth="1"/>
    <col min="14853" max="14853" width="26" style="2" customWidth="1"/>
    <col min="14854" max="14854" width="7" style="2" bestFit="1" customWidth="1"/>
    <col min="14855" max="14857" width="9.109375" style="2"/>
    <col min="14858" max="14858" width="14.33203125" style="2" bestFit="1" customWidth="1"/>
    <col min="14859" max="14859" width="15" style="2" bestFit="1" customWidth="1"/>
    <col min="14860" max="14860" width="13.6640625" style="2" bestFit="1" customWidth="1"/>
    <col min="14861" max="15104" width="9.109375" style="2"/>
    <col min="15105" max="15105" width="34.33203125" style="2" bestFit="1" customWidth="1"/>
    <col min="15106" max="15106" width="10.109375" style="2" customWidth="1"/>
    <col min="15107" max="15107" width="7" style="2" customWidth="1"/>
    <col min="15108" max="15108" width="47" style="2" customWidth="1"/>
    <col min="15109" max="15109" width="26" style="2" customWidth="1"/>
    <col min="15110" max="15110" width="7" style="2" bestFit="1" customWidth="1"/>
    <col min="15111" max="15113" width="9.109375" style="2"/>
    <col min="15114" max="15114" width="14.33203125" style="2" bestFit="1" customWidth="1"/>
    <col min="15115" max="15115" width="15" style="2" bestFit="1" customWidth="1"/>
    <col min="15116" max="15116" width="13.6640625" style="2" bestFit="1" customWidth="1"/>
    <col min="15117" max="15360" width="9.109375" style="2"/>
    <col min="15361" max="15361" width="34.33203125" style="2" bestFit="1" customWidth="1"/>
    <col min="15362" max="15362" width="10.109375" style="2" customWidth="1"/>
    <col min="15363" max="15363" width="7" style="2" customWidth="1"/>
    <col min="15364" max="15364" width="47" style="2" customWidth="1"/>
    <col min="15365" max="15365" width="26" style="2" customWidth="1"/>
    <col min="15366" max="15366" width="7" style="2" bestFit="1" customWidth="1"/>
    <col min="15367" max="15369" width="9.109375" style="2"/>
    <col min="15370" max="15370" width="14.33203125" style="2" bestFit="1" customWidth="1"/>
    <col min="15371" max="15371" width="15" style="2" bestFit="1" customWidth="1"/>
    <col min="15372" max="15372" width="13.6640625" style="2" bestFit="1" customWidth="1"/>
    <col min="15373" max="15616" width="9.109375" style="2"/>
    <col min="15617" max="15617" width="34.33203125" style="2" bestFit="1" customWidth="1"/>
    <col min="15618" max="15618" width="10.109375" style="2" customWidth="1"/>
    <col min="15619" max="15619" width="7" style="2" customWidth="1"/>
    <col min="15620" max="15620" width="47" style="2" customWidth="1"/>
    <col min="15621" max="15621" width="26" style="2" customWidth="1"/>
    <col min="15622" max="15622" width="7" style="2" bestFit="1" customWidth="1"/>
    <col min="15623" max="15625" width="9.109375" style="2"/>
    <col min="15626" max="15626" width="14.33203125" style="2" bestFit="1" customWidth="1"/>
    <col min="15627" max="15627" width="15" style="2" bestFit="1" customWidth="1"/>
    <col min="15628" max="15628" width="13.6640625" style="2" bestFit="1" customWidth="1"/>
    <col min="15629" max="15872" width="9.109375" style="2"/>
    <col min="15873" max="15873" width="34.33203125" style="2" bestFit="1" customWidth="1"/>
    <col min="15874" max="15874" width="10.109375" style="2" customWidth="1"/>
    <col min="15875" max="15875" width="7" style="2" customWidth="1"/>
    <col min="15876" max="15876" width="47" style="2" customWidth="1"/>
    <col min="15877" max="15877" width="26" style="2" customWidth="1"/>
    <col min="15878" max="15878" width="7" style="2" bestFit="1" customWidth="1"/>
    <col min="15879" max="15881" width="9.109375" style="2"/>
    <col min="15882" max="15882" width="14.33203125" style="2" bestFit="1" customWidth="1"/>
    <col min="15883" max="15883" width="15" style="2" bestFit="1" customWidth="1"/>
    <col min="15884" max="15884" width="13.6640625" style="2" bestFit="1" customWidth="1"/>
    <col min="15885" max="16128" width="9.109375" style="2"/>
    <col min="16129" max="16129" width="34.33203125" style="2" bestFit="1" customWidth="1"/>
    <col min="16130" max="16130" width="10.109375" style="2" customWidth="1"/>
    <col min="16131" max="16131" width="7" style="2" customWidth="1"/>
    <col min="16132" max="16132" width="47" style="2" customWidth="1"/>
    <col min="16133" max="16133" width="26" style="2" customWidth="1"/>
    <col min="16134" max="16134" width="7" style="2" bestFit="1" customWidth="1"/>
    <col min="16135" max="16137" width="9.109375" style="2"/>
    <col min="16138" max="16138" width="14.33203125" style="2" bestFit="1" customWidth="1"/>
    <col min="16139" max="16139" width="15" style="2" bestFit="1" customWidth="1"/>
    <col min="16140" max="16140" width="13.6640625" style="2" bestFit="1" customWidth="1"/>
    <col min="16141" max="16384" width="9.109375" style="2"/>
  </cols>
  <sheetData>
    <row r="3" spans="1:9" ht="13.8">
      <c r="A3" s="35"/>
    </row>
    <row r="13" spans="1:9" ht="13.8" thickBot="1">
      <c r="A13" s="1"/>
      <c r="B13" s="1"/>
      <c r="C13" s="1"/>
      <c r="D13" s="1"/>
      <c r="E13" s="1"/>
      <c r="F13" s="1"/>
      <c r="G13" s="1"/>
      <c r="H13" s="1"/>
    </row>
    <row r="16" spans="1:9" ht="17.399999999999999">
      <c r="A16" s="3" t="s">
        <v>0</v>
      </c>
      <c r="I16"/>
    </row>
    <row r="17" spans="1:13" ht="12.9" customHeight="1">
      <c r="A17" s="2" t="s">
        <v>137</v>
      </c>
      <c r="B17" s="53" t="s">
        <v>153</v>
      </c>
      <c r="E17" s="24" t="str">
        <f>IF(F18&lt;120,"Minimum On-Time Too Low. Reduce Operating Frequency!", " ")</f>
        <v xml:space="preserve"> </v>
      </c>
    </row>
    <row r="18" spans="1:13" ht="12.9" customHeight="1">
      <c r="A18" s="2" t="s">
        <v>1</v>
      </c>
      <c r="B18" s="45">
        <v>300</v>
      </c>
      <c r="C18" s="4" t="s">
        <v>2</v>
      </c>
      <c r="E18" s="2" t="s">
        <v>133</v>
      </c>
      <c r="F18" s="45">
        <f>+D/(Fs*1000)*1000000000</f>
        <v>387.20549607894708</v>
      </c>
      <c r="G18" s="4" t="s">
        <v>56</v>
      </c>
      <c r="H18" s="24"/>
    </row>
    <row r="19" spans="1:13" ht="12.9" customHeight="1">
      <c r="A19" s="2" t="str">
        <f>IF(OR(B17="AP68255",B17="AP68255Q",B17="AP68355",B17="AP68355Q"),(IF(OR(Vin&lt;5.5,Vin&gt;80),"Input Voltage Out of Range","Input Voltage 5.5V - 80V")),(IF(OR(Vin&lt;5.5,Vin&gt;100),"Input Voltage Out of Range","Input Voltage 5.5V - 100V")))</f>
        <v>Input Voltage 5.5V - 80V</v>
      </c>
      <c r="B19" s="36">
        <v>48</v>
      </c>
      <c r="C19" s="4" t="s">
        <v>3</v>
      </c>
      <c r="E19" s="2" t="s">
        <v>4</v>
      </c>
      <c r="F19" s="5">
        <f>(Vout + (Iout*((DCR+Ron_l)/1000)))/(Vin+(Iout*((Ron_l-Ron_u)/1000)))</f>
        <v>0.11616164882368413</v>
      </c>
      <c r="G19" s="4"/>
      <c r="H19" s="6"/>
    </row>
    <row r="20" spans="1:13" ht="12.9" customHeight="1">
      <c r="A20" s="2" t="str">
        <f>IF(OR(Vout&lt;0.8,Vout&gt;Vin), "Output Voltage Out of Range", "Ouptut Voltage")</f>
        <v>Ouptut Voltage</v>
      </c>
      <c r="B20" s="36">
        <v>5</v>
      </c>
      <c r="C20" s="4" t="s">
        <v>3</v>
      </c>
      <c r="E20" s="2" t="s">
        <v>5</v>
      </c>
      <c r="F20" s="7">
        <f>Vout/Iout</f>
        <v>1.4285714285714286</v>
      </c>
      <c r="G20" s="4" t="s">
        <v>6</v>
      </c>
    </row>
    <row r="21" spans="1:13" ht="12.9" customHeight="1">
      <c r="A21" s="2" t="s">
        <v>7</v>
      </c>
      <c r="B21" s="36">
        <v>3.5</v>
      </c>
      <c r="C21" s="4" t="s">
        <v>8</v>
      </c>
    </row>
    <row r="22" spans="1:13" ht="12.9" customHeight="1">
      <c r="B22" s="8"/>
      <c r="E22" s="2" t="s">
        <v>9</v>
      </c>
      <c r="F22" s="20">
        <f>Iout*SQRT(D)*SQRT(1+1/3*(Irip/2/Iout)^2)</f>
        <v>1.194127419916837</v>
      </c>
      <c r="G22" s="4" t="s">
        <v>8</v>
      </c>
    </row>
    <row r="23" spans="1:13" ht="12.9" customHeight="1">
      <c r="A23" s="9" t="s">
        <v>10</v>
      </c>
      <c r="B23" s="8"/>
      <c r="E23" s="2" t="s">
        <v>11</v>
      </c>
      <c r="F23" s="20">
        <f>Iout*SQRT(1-D)*SQRT(1+1/3*(Irip/2/Iout)^2)</f>
        <v>3.2938643370988876</v>
      </c>
      <c r="G23" s="4" t="s">
        <v>8</v>
      </c>
    </row>
    <row r="24" spans="1:13" ht="12.9" customHeight="1">
      <c r="A24" s="10" t="s">
        <v>12</v>
      </c>
      <c r="B24" s="32">
        <v>35</v>
      </c>
      <c r="C24" s="11" t="s">
        <v>13</v>
      </c>
      <c r="F24" s="16"/>
    </row>
    <row r="25" spans="1:13" ht="12.9" customHeight="1">
      <c r="A25" s="10"/>
      <c r="B25" s="10"/>
      <c r="C25" s="10"/>
      <c r="F25" s="16"/>
    </row>
    <row r="26" spans="1:13" ht="12.9" customHeight="1">
      <c r="A26" s="10" t="s">
        <v>14</v>
      </c>
      <c r="B26" s="37">
        <f>IF(OR(B17="AP68255",B17="AP68255Q",B17="AP6A255",B17="AP6A255Q"),(((Vin-Vout)*D)/((Fs*10^3)*2.5*(LIR/100)))*10^6,(((Vin-Vout)*D)/((Fs*10^3)*3.5*(LIR/100)))*10^6)</f>
        <v>13.591703127669163</v>
      </c>
      <c r="C26" s="11" t="s">
        <v>15</v>
      </c>
      <c r="E26" s="2" t="s">
        <v>16</v>
      </c>
      <c r="F26" s="20">
        <f>(Vin-Vout)*((Vout)/(Vin*Lout*10^(-6)*Fs*10^3))</f>
        <v>0.55298353909465026</v>
      </c>
      <c r="G26" s="4" t="s">
        <v>17</v>
      </c>
      <c r="H26" s="6"/>
      <c r="J26" s="12"/>
      <c r="K26" s="12"/>
      <c r="L26" s="12"/>
      <c r="M26" s="12"/>
    </row>
    <row r="27" spans="1:13" ht="12.9" customHeight="1">
      <c r="A27" s="2" t="s">
        <v>18</v>
      </c>
      <c r="B27" s="36">
        <v>27</v>
      </c>
      <c r="C27" s="4" t="s">
        <v>15</v>
      </c>
      <c r="G27" s="10"/>
      <c r="J27" s="29"/>
      <c r="K27" s="29" t="s">
        <v>19</v>
      </c>
      <c r="L27" s="29" t="s">
        <v>20</v>
      </c>
      <c r="M27" s="12"/>
    </row>
    <row r="28" spans="1:13" ht="12.9" customHeight="1">
      <c r="A28" s="14" t="s">
        <v>21</v>
      </c>
      <c r="B28" s="33">
        <v>100</v>
      </c>
      <c r="C28" s="4" t="s">
        <v>22</v>
      </c>
      <c r="G28" s="10"/>
      <c r="J28" s="29" t="s">
        <v>23</v>
      </c>
      <c r="K28" s="38">
        <f>B57</f>
        <v>0.79180069447107582</v>
      </c>
      <c r="L28" s="38">
        <f>B58+B59+B60+B61</f>
        <v>0.68691375811188693</v>
      </c>
      <c r="M28" s="12"/>
    </row>
    <row r="29" spans="1:13" ht="12.9" customHeight="1">
      <c r="A29" s="14"/>
      <c r="B29" s="8"/>
      <c r="G29" s="10"/>
      <c r="J29" s="29" t="s">
        <v>24</v>
      </c>
      <c r="K29" s="38">
        <f>B74+B76</f>
        <v>1.5469401449242945</v>
      </c>
      <c r="L29" s="38">
        <f>B75+B77</f>
        <v>0.11059200000000001</v>
      </c>
      <c r="M29" s="12"/>
    </row>
    <row r="30" spans="1:13" ht="12.9" customHeight="1">
      <c r="A30" s="9" t="s">
        <v>25</v>
      </c>
      <c r="B30" s="8"/>
      <c r="D30" s="10"/>
      <c r="E30" s="55" t="s">
        <v>138</v>
      </c>
      <c r="F30" s="10"/>
      <c r="G30" s="10"/>
      <c r="J30" s="29" t="s">
        <v>26</v>
      </c>
      <c r="K30" s="29"/>
      <c r="L30" s="38">
        <f>B83+B84</f>
        <v>1.5E-3</v>
      </c>
      <c r="M30" s="12"/>
    </row>
    <row r="31" spans="1:13" ht="12.9" customHeight="1">
      <c r="A31" s="2" t="s">
        <v>27</v>
      </c>
      <c r="B31" s="33">
        <v>2</v>
      </c>
      <c r="D31" s="10"/>
      <c r="E31" s="56" t="s">
        <v>139</v>
      </c>
      <c r="F31" s="36">
        <v>5.5</v>
      </c>
      <c r="G31" s="4" t="s">
        <v>3</v>
      </c>
      <c r="J31" s="29" t="s">
        <v>18</v>
      </c>
      <c r="K31" s="38">
        <f>B89</f>
        <v>1.2351930264836548</v>
      </c>
      <c r="L31" s="38">
        <f>B88</f>
        <v>1.964230772651955E-3</v>
      </c>
      <c r="M31" s="12"/>
    </row>
    <row r="32" spans="1:13" ht="12.9" customHeight="1">
      <c r="A32" s="2" t="s">
        <v>28</v>
      </c>
      <c r="B32" s="33">
        <v>12</v>
      </c>
      <c r="C32" s="4" t="s">
        <v>29</v>
      </c>
      <c r="E32" s="56" t="s">
        <v>140</v>
      </c>
      <c r="F32" s="36">
        <v>4.9000000000000004</v>
      </c>
      <c r="G32" s="4" t="s">
        <v>3</v>
      </c>
      <c r="J32" s="29" t="s">
        <v>30</v>
      </c>
      <c r="K32" s="39">
        <f>B98</f>
        <v>3.822384931370559E-5</v>
      </c>
      <c r="L32" s="29"/>
      <c r="M32" s="12"/>
    </row>
    <row r="33" spans="1:13" ht="12.9" customHeight="1">
      <c r="A33" s="2" t="s">
        <v>31</v>
      </c>
      <c r="B33" s="33">
        <v>3</v>
      </c>
      <c r="C33" s="4" t="s">
        <v>22</v>
      </c>
      <c r="E33" s="56"/>
      <c r="F33"/>
      <c r="G33"/>
      <c r="J33" s="28" t="s">
        <v>32</v>
      </c>
      <c r="K33" s="49">
        <f>+B95</f>
        <v>0.1376</v>
      </c>
      <c r="L33" s="28"/>
      <c r="M33" s="12"/>
    </row>
    <row r="34" spans="1:13" ht="12.9" customHeight="1">
      <c r="B34" s="15"/>
      <c r="E34" s="56" t="s">
        <v>142</v>
      </c>
      <c r="F34" s="57">
        <f>IF(F31=5.3, "100",(0.992*F31-F32)/(1000*0.0000018))</f>
        <v>308.88888888888846</v>
      </c>
      <c r="G34" s="4" t="s">
        <v>141</v>
      </c>
      <c r="H34" s="28"/>
      <c r="I34" s="28" t="s">
        <v>151</v>
      </c>
      <c r="J34" s="28"/>
      <c r="K34" s="28"/>
      <c r="L34" s="28"/>
      <c r="M34" s="12"/>
    </row>
    <row r="35" spans="1:13" ht="12.9" customHeight="1">
      <c r="A35" s="9" t="s">
        <v>33</v>
      </c>
      <c r="E35" s="56" t="s">
        <v>143</v>
      </c>
      <c r="F35" s="57">
        <f>IF(F31&lt;4.9, "Open", 1.008*F34/(F32-1.008+0.0000021*F34*1000))</f>
        <v>68.571428571428484</v>
      </c>
      <c r="G35" s="4" t="s">
        <v>141</v>
      </c>
      <c r="H35" s="28"/>
      <c r="I35" s="28" t="s">
        <v>152</v>
      </c>
      <c r="J35" s="28"/>
      <c r="K35" s="28"/>
      <c r="L35" s="28"/>
      <c r="M35" s="12"/>
    </row>
    <row r="36" spans="1:13" ht="12.9" customHeight="1">
      <c r="A36" s="2" t="s">
        <v>34</v>
      </c>
      <c r="B36" s="58">
        <f>500*(1+0.0045*(F41-25)*(1+500*0.001*Iout^2*Vout/Vin))</f>
        <v>555.283203125</v>
      </c>
      <c r="C36" s="4" t="s">
        <v>22</v>
      </c>
      <c r="E36" s="59" t="s">
        <v>149</v>
      </c>
      <c r="F36" s="36">
        <v>100</v>
      </c>
      <c r="G36" s="4" t="s">
        <v>141</v>
      </c>
      <c r="H36" s="28"/>
      <c r="I36" s="28" t="s">
        <v>153</v>
      </c>
      <c r="J36" s="28"/>
      <c r="K36" s="28"/>
      <c r="L36" s="28"/>
    </row>
    <row r="37" spans="1:13" ht="12.9" customHeight="1">
      <c r="E37" s="56" t="s">
        <v>150</v>
      </c>
      <c r="F37" s="61">
        <f>IF(Vout=1.2,"Open",1.2*F36/(Vout-1.2))</f>
        <v>31.578947368421055</v>
      </c>
      <c r="G37" s="4" t="s">
        <v>141</v>
      </c>
      <c r="H37" s="28"/>
      <c r="I37" s="28" t="s">
        <v>154</v>
      </c>
      <c r="J37" s="28"/>
      <c r="K37" s="28"/>
      <c r="L37" s="28"/>
    </row>
    <row r="38" spans="1:13" ht="12.9" customHeight="1">
      <c r="A38" s="9" t="s">
        <v>35</v>
      </c>
      <c r="B38" s="15"/>
      <c r="E38" s="6"/>
      <c r="H38" s="28"/>
      <c r="I38" s="28" t="s">
        <v>145</v>
      </c>
      <c r="J38" s="28"/>
      <c r="K38" s="28"/>
      <c r="L38" s="28"/>
    </row>
    <row r="39" spans="1:13" ht="12.9" customHeight="1">
      <c r="A39" s="2" t="s">
        <v>36</v>
      </c>
      <c r="B39" s="31">
        <v>0.5</v>
      </c>
      <c r="C39" s="4" t="s">
        <v>3</v>
      </c>
      <c r="E39" s="6"/>
      <c r="H39" s="28"/>
      <c r="I39" s="28" t="s">
        <v>146</v>
      </c>
      <c r="J39" s="28"/>
      <c r="K39" s="49"/>
      <c r="L39" s="28"/>
    </row>
    <row r="40" spans="1:13" ht="12.9" customHeight="1">
      <c r="A40" s="2" t="s">
        <v>37</v>
      </c>
      <c r="B40" s="31">
        <v>0.16</v>
      </c>
      <c r="C40" s="4" t="s">
        <v>38</v>
      </c>
      <c r="E40" s="2" t="s">
        <v>134</v>
      </c>
      <c r="F40" s="30">
        <v>39</v>
      </c>
      <c r="G40" s="4" t="s">
        <v>130</v>
      </c>
      <c r="H40" s="28"/>
      <c r="I40" s="28" t="s">
        <v>147</v>
      </c>
      <c r="J40" s="28" t="s">
        <v>135</v>
      </c>
      <c r="K40" s="28">
        <v>2</v>
      </c>
      <c r="L40" s="28"/>
    </row>
    <row r="41" spans="1:13" ht="12.9" customHeight="1">
      <c r="A41" s="2" t="s">
        <v>39</v>
      </c>
      <c r="B41" s="33">
        <v>40</v>
      </c>
      <c r="C41" s="4" t="s">
        <v>40</v>
      </c>
      <c r="E41" s="2" t="s">
        <v>131</v>
      </c>
      <c r="F41" s="30">
        <v>40</v>
      </c>
      <c r="G41" s="4" t="s">
        <v>132</v>
      </c>
      <c r="H41" s="28">
        <f>IF(OR(B17="AP68255",B17="AP68355",B17="AP6A255",B17="AP6A355"),125, 150)</f>
        <v>125</v>
      </c>
      <c r="I41" s="28" t="s">
        <v>148</v>
      </c>
      <c r="J41" s="28" t="s">
        <v>136</v>
      </c>
      <c r="K41" s="28">
        <v>3</v>
      </c>
      <c r="L41" s="28"/>
    </row>
    <row r="42" spans="1:13" ht="12.9" customHeight="1">
      <c r="B42" s="15"/>
      <c r="E42" s="2" t="s">
        <v>144</v>
      </c>
      <c r="F42" s="54">
        <f>+F41+F40*F43</f>
        <v>103.09476365073554</v>
      </c>
      <c r="G42" s="4" t="str">
        <f>IF(F42&gt;H41, "Thermal too high","°C")</f>
        <v>°C</v>
      </c>
      <c r="H42" s="28"/>
      <c r="I42" s="28"/>
      <c r="J42" s="28"/>
      <c r="K42" s="28"/>
      <c r="L42" s="28"/>
    </row>
    <row r="43" spans="1:13" ht="12.9" customHeight="1">
      <c r="A43" s="17" t="s">
        <v>41</v>
      </c>
      <c r="B43" s="18">
        <f>Tloss</f>
        <v>4.5125038547635645</v>
      </c>
      <c r="C43" s="19" t="s">
        <v>42</v>
      </c>
      <c r="E43" s="2" t="s">
        <v>43</v>
      </c>
      <c r="F43" s="20">
        <f>+K28+L28+L30+K33</f>
        <v>1.6178144525829627</v>
      </c>
      <c r="G43" s="4" t="s">
        <v>42</v>
      </c>
      <c r="H43" s="28"/>
      <c r="I43" s="28"/>
      <c r="J43" s="28"/>
      <c r="K43" s="28"/>
      <c r="L43" s="28"/>
    </row>
    <row r="44" spans="1:13" ht="12.9" customHeight="1">
      <c r="A44" s="17" t="s">
        <v>44</v>
      </c>
      <c r="B44" s="60">
        <f>Efficiency</f>
        <v>79.5002700077345</v>
      </c>
      <c r="C44" s="19" t="s">
        <v>13</v>
      </c>
    </row>
    <row r="45" spans="1:13" ht="12.9" customHeight="1" thickBot="1">
      <c r="A45" s="1"/>
      <c r="B45" s="21"/>
      <c r="C45" s="1"/>
      <c r="D45" s="1"/>
      <c r="E45" s="1"/>
      <c r="F45" s="1"/>
      <c r="G45" s="1"/>
      <c r="H45" s="1"/>
    </row>
    <row r="46" spans="1:13" s="12" customFormat="1" ht="12.9" customHeight="1">
      <c r="A46" s="28"/>
      <c r="B46" s="40"/>
      <c r="C46" s="28"/>
      <c r="D46" s="28"/>
      <c r="E46" s="28"/>
      <c r="F46" s="24"/>
      <c r="G46" s="24"/>
      <c r="H46" s="6"/>
      <c r="I46" s="6"/>
    </row>
    <row r="47" spans="1:13" s="13" customFormat="1" ht="12.9" customHeight="1">
      <c r="A47" s="41" t="s">
        <v>33</v>
      </c>
      <c r="B47" s="29"/>
      <c r="C47" s="29"/>
      <c r="D47" s="29"/>
      <c r="E47" s="29"/>
      <c r="F47" s="23"/>
      <c r="G47" s="23"/>
      <c r="H47" s="22"/>
      <c r="I47" s="22"/>
    </row>
    <row r="48" spans="1:13" s="29" customFormat="1" ht="12.9" customHeight="1">
      <c r="A48" s="29" t="s">
        <v>45</v>
      </c>
      <c r="B48" s="29">
        <f>B36</f>
        <v>555.283203125</v>
      </c>
      <c r="C48" s="29" t="s">
        <v>22</v>
      </c>
    </row>
    <row r="49" spans="1:10" s="29" customFormat="1" ht="12.9" customHeight="1">
      <c r="A49" s="29" t="s">
        <v>46</v>
      </c>
      <c r="B49" s="29">
        <v>1.2</v>
      </c>
      <c r="C49" s="29" t="s">
        <v>3</v>
      </c>
    </row>
    <row r="50" spans="1:10" s="29" customFormat="1" ht="12.9" customHeight="1">
      <c r="A50" s="29" t="s">
        <v>47</v>
      </c>
      <c r="B50" s="29">
        <v>5</v>
      </c>
      <c r="C50" s="29" t="s">
        <v>48</v>
      </c>
    </row>
    <row r="51" spans="1:10" s="29" customFormat="1" ht="12.9" customHeight="1">
      <c r="A51" s="29" t="s">
        <v>49</v>
      </c>
      <c r="B51" s="29">
        <v>1</v>
      </c>
      <c r="C51" s="29" t="s">
        <v>48</v>
      </c>
    </row>
    <row r="52" spans="1:10" s="29" customFormat="1" ht="12.9" customHeight="1">
      <c r="A52" s="29" t="s">
        <v>50</v>
      </c>
      <c r="B52" s="62">
        <f>+E52/Ron_u</f>
        <v>5.8528692777123158E-2</v>
      </c>
      <c r="C52" s="29" t="s">
        <v>38</v>
      </c>
      <c r="D52" s="29" t="s">
        <v>51</v>
      </c>
      <c r="E52" s="63">
        <v>32.5</v>
      </c>
      <c r="F52" s="29" t="s">
        <v>52</v>
      </c>
    </row>
    <row r="53" spans="1:10" s="29" customFormat="1" ht="12.9" customHeight="1">
      <c r="A53" s="29" t="s">
        <v>53</v>
      </c>
      <c r="B53" s="64">
        <f>+E53/Ron_u</f>
        <v>2.9264346388561579E-2</v>
      </c>
      <c r="C53" s="29" t="s">
        <v>38</v>
      </c>
      <c r="D53" s="29" t="s">
        <v>54</v>
      </c>
      <c r="E53" s="63">
        <v>16.25</v>
      </c>
      <c r="F53" s="29" t="s">
        <v>52</v>
      </c>
    </row>
    <row r="54" spans="1:10" s="29" customFormat="1" ht="12.9" customHeight="1">
      <c r="A54" s="29" t="s">
        <v>55</v>
      </c>
      <c r="B54" s="65">
        <v>12</v>
      </c>
      <c r="C54" s="29" t="s">
        <v>56</v>
      </c>
      <c r="D54" s="29" t="s">
        <v>57</v>
      </c>
    </row>
    <row r="55" spans="1:10" s="29" customFormat="1" ht="12.9" customHeight="1">
      <c r="A55" s="29" t="s">
        <v>58</v>
      </c>
      <c r="B55" s="65">
        <v>12</v>
      </c>
      <c r="C55" s="29" t="s">
        <v>56</v>
      </c>
      <c r="D55" s="29" t="s">
        <v>59</v>
      </c>
    </row>
    <row r="56" spans="1:10" s="29" customFormat="1" ht="12.9" customHeight="1">
      <c r="A56" s="66" t="s">
        <v>60</v>
      </c>
      <c r="B56" s="65">
        <v>1</v>
      </c>
      <c r="D56" s="29" t="s">
        <v>61</v>
      </c>
    </row>
    <row r="57" spans="1:10" s="29" customFormat="1" ht="12.9" customHeight="1">
      <c r="A57" s="29" t="s">
        <v>62</v>
      </c>
      <c r="B57" s="38">
        <f>Iu_rms^2*B48/B56/1000</f>
        <v>0.79180069447107582</v>
      </c>
      <c r="C57" s="29" t="s">
        <v>63</v>
      </c>
      <c r="D57" s="29" t="s">
        <v>64</v>
      </c>
    </row>
    <row r="58" spans="1:10" s="29" customFormat="1" ht="12.9" customHeight="1">
      <c r="A58" s="29" t="s">
        <v>65</v>
      </c>
      <c r="B58" s="38">
        <f>Vin*(Iout-0.5*Irip)*B54*10^(-9)*Fs*10^(3)/2</f>
        <v>0.27851111111111115</v>
      </c>
      <c r="C58" s="29" t="s">
        <v>63</v>
      </c>
      <c r="D58" s="29" t="s">
        <v>66</v>
      </c>
    </row>
    <row r="59" spans="1:10" s="29" customFormat="1" ht="12.9" customHeight="1">
      <c r="A59" s="29" t="s">
        <v>67</v>
      </c>
      <c r="B59" s="38">
        <f>Vin*(Iout+0.5*Irip)*B55*10^(-9)*Fs*10^(3)/2</f>
        <v>0.32628888888888891</v>
      </c>
      <c r="C59" s="29" t="s">
        <v>63</v>
      </c>
      <c r="D59" s="29" t="s">
        <v>68</v>
      </c>
    </row>
    <row r="60" spans="1:10" s="29" customFormat="1" ht="12.9" customHeight="1">
      <c r="A60" s="29" t="s">
        <v>69</v>
      </c>
      <c r="B60" s="38">
        <f>Vin*Fs*10^3*B50*10^(-9)*B56</f>
        <v>7.2000000000000008E-2</v>
      </c>
      <c r="C60" s="29" t="s">
        <v>63</v>
      </c>
      <c r="D60" s="29" t="s">
        <v>70</v>
      </c>
    </row>
    <row r="61" spans="1:10" s="29" customFormat="1" ht="12.9" customHeight="1">
      <c r="A61" s="29" t="s">
        <v>71</v>
      </c>
      <c r="B61" s="38">
        <f>0.5*B53*10^(-9)*Vin^2*Fs*10^3*B56</f>
        <v>1.0113758111886882E-2</v>
      </c>
      <c r="C61" s="29" t="s">
        <v>63</v>
      </c>
      <c r="D61" s="29" t="s">
        <v>72</v>
      </c>
    </row>
    <row r="62" spans="1:10" s="29" customFormat="1" ht="12.9" customHeight="1">
      <c r="A62" s="29" t="s">
        <v>73</v>
      </c>
      <c r="B62" s="38">
        <f>SUM(B57:B61)</f>
        <v>1.4787144525829627</v>
      </c>
      <c r="C62" s="29" t="s">
        <v>63</v>
      </c>
      <c r="D62" s="29" t="s">
        <v>74</v>
      </c>
      <c r="J62" s="38"/>
    </row>
    <row r="63" spans="1:10" s="29" customFormat="1" ht="12.9" customHeight="1"/>
    <row r="64" spans="1:10" s="29" customFormat="1" ht="12.9" customHeight="1">
      <c r="A64" s="41" t="s">
        <v>75</v>
      </c>
    </row>
    <row r="65" spans="1:5" s="29" customFormat="1" ht="12.9" customHeight="1">
      <c r="A65" s="29" t="s">
        <v>45</v>
      </c>
      <c r="B65" s="65"/>
      <c r="C65" s="29" t="s">
        <v>22</v>
      </c>
    </row>
    <row r="66" spans="1:5" s="29" customFormat="1" ht="12.9" customHeight="1">
      <c r="A66" s="29" t="s">
        <v>46</v>
      </c>
      <c r="B66" s="38">
        <f>+B39</f>
        <v>0.5</v>
      </c>
      <c r="C66" s="29" t="s">
        <v>3</v>
      </c>
    </row>
    <row r="67" spans="1:5" s="29" customFormat="1" ht="12.9" customHeight="1">
      <c r="A67" s="29" t="s">
        <v>47</v>
      </c>
      <c r="B67" s="29">
        <v>0</v>
      </c>
      <c r="C67" s="29" t="s">
        <v>48</v>
      </c>
    </row>
    <row r="68" spans="1:5" s="29" customFormat="1" ht="12.9" customHeight="1">
      <c r="A68" s="29" t="s">
        <v>49</v>
      </c>
      <c r="B68" s="29">
        <v>0</v>
      </c>
      <c r="C68" s="29" t="s">
        <v>48</v>
      </c>
    </row>
    <row r="69" spans="1:5" s="29" customFormat="1" ht="12.9" customHeight="1">
      <c r="A69" s="29" t="s">
        <v>50</v>
      </c>
      <c r="B69" s="67">
        <f>+E69/Ron_u</f>
        <v>0</v>
      </c>
      <c r="C69" s="29" t="s">
        <v>38</v>
      </c>
      <c r="E69" s="63"/>
    </row>
    <row r="70" spans="1:5" s="29" customFormat="1" ht="12.9" customHeight="1">
      <c r="A70" s="29" t="s">
        <v>53</v>
      </c>
      <c r="B70" s="64">
        <f>+B40</f>
        <v>0.16</v>
      </c>
      <c r="C70" s="29" t="s">
        <v>38</v>
      </c>
      <c r="E70" s="63"/>
    </row>
    <row r="71" spans="1:5" s="29" customFormat="1" ht="12.9" customHeight="1">
      <c r="A71" s="29" t="s">
        <v>76</v>
      </c>
      <c r="B71" s="29">
        <v>0</v>
      </c>
      <c r="C71" s="29" t="s">
        <v>56</v>
      </c>
      <c r="D71" s="29" t="s">
        <v>77</v>
      </c>
    </row>
    <row r="72" spans="1:5" s="29" customFormat="1" ht="12.9" customHeight="1">
      <c r="A72" s="29" t="s">
        <v>78</v>
      </c>
      <c r="B72" s="29">
        <v>0</v>
      </c>
      <c r="C72" s="29" t="s">
        <v>56</v>
      </c>
      <c r="D72" s="29" t="s">
        <v>79</v>
      </c>
    </row>
    <row r="73" spans="1:5" s="29" customFormat="1" ht="12.9" customHeight="1">
      <c r="A73" s="29" t="s">
        <v>60</v>
      </c>
      <c r="B73" s="65">
        <v>1</v>
      </c>
      <c r="D73" s="29" t="s">
        <v>80</v>
      </c>
    </row>
    <row r="74" spans="1:5" s="29" customFormat="1" ht="12.9" customHeight="1">
      <c r="A74" s="29" t="s">
        <v>62</v>
      </c>
      <c r="B74" s="38">
        <f>Iout*B39*(1-D)</f>
        <v>1.546717114558553</v>
      </c>
      <c r="C74" s="29" t="s">
        <v>63</v>
      </c>
      <c r="D74" s="29" t="s">
        <v>81</v>
      </c>
    </row>
    <row r="75" spans="1:5" s="29" customFormat="1" ht="12.75" customHeight="1">
      <c r="A75" s="29" t="s">
        <v>69</v>
      </c>
      <c r="B75" s="38">
        <f>B66*Fs*10^(-6)*((Iout+0.5*Irip)*B71+(Iout-0.5*Irip)*B72)</f>
        <v>0</v>
      </c>
      <c r="C75" s="29" t="s">
        <v>63</v>
      </c>
      <c r="D75" s="29" t="s">
        <v>82</v>
      </c>
    </row>
    <row r="76" spans="1:5" s="29" customFormat="1" ht="12.9" customHeight="1">
      <c r="A76" s="29" t="s">
        <v>83</v>
      </c>
      <c r="B76" s="38">
        <f>+Vin*B41*0.000001*D</f>
        <v>2.2303036574147349E-4</v>
      </c>
      <c r="C76" s="29" t="s">
        <v>63</v>
      </c>
      <c r="D76" s="29" t="s">
        <v>84</v>
      </c>
    </row>
    <row r="77" spans="1:5" s="29" customFormat="1" ht="12.9" customHeight="1">
      <c r="A77" s="29" t="s">
        <v>71</v>
      </c>
      <c r="B77" s="38">
        <f>B70*10^(-9)*B73*Vin^2*Fs*1000</f>
        <v>0.11059200000000001</v>
      </c>
      <c r="C77" s="29" t="s">
        <v>63</v>
      </c>
      <c r="D77" s="29" t="s">
        <v>85</v>
      </c>
    </row>
    <row r="78" spans="1:5" s="29" customFormat="1" ht="12.9" customHeight="1">
      <c r="A78" s="29" t="s">
        <v>86</v>
      </c>
      <c r="B78" s="38">
        <f>B74+B75+B76+B77</f>
        <v>1.6575321449242946</v>
      </c>
      <c r="C78" s="29" t="s">
        <v>63</v>
      </c>
      <c r="D78" s="29" t="s">
        <v>87</v>
      </c>
    </row>
    <row r="79" spans="1:5" s="29" customFormat="1" ht="12.9" customHeight="1"/>
    <row r="80" spans="1:5" s="29" customFormat="1" ht="12.9" customHeight="1">
      <c r="A80" s="42" t="s">
        <v>88</v>
      </c>
    </row>
    <row r="81" spans="1:4" s="29" customFormat="1" ht="12.9" customHeight="1">
      <c r="A81" s="29" t="s">
        <v>89</v>
      </c>
      <c r="B81" s="29">
        <f>IF(Vin&lt;5.7, Vin, 5)</f>
        <v>5</v>
      </c>
      <c r="C81" s="29" t="s">
        <v>3</v>
      </c>
    </row>
    <row r="82" spans="1:4" s="29" customFormat="1" ht="12.9" customHeight="1">
      <c r="A82" s="29" t="s">
        <v>90</v>
      </c>
      <c r="B82" s="29">
        <f>IF(Vin&lt;5.75, Vin, 5)</f>
        <v>5</v>
      </c>
      <c r="C82" s="29" t="s">
        <v>3</v>
      </c>
    </row>
    <row r="83" spans="1:4" s="29" customFormat="1" ht="12.9" customHeight="1">
      <c r="A83" s="29" t="s">
        <v>91</v>
      </c>
      <c r="B83" s="38">
        <f>Fs*B81*B51*10^(-6)*B56</f>
        <v>1.5E-3</v>
      </c>
      <c r="C83" s="29" t="s">
        <v>63</v>
      </c>
      <c r="D83" s="29" t="s">
        <v>92</v>
      </c>
    </row>
    <row r="84" spans="1:4" s="29" customFormat="1" ht="12.9" customHeight="1">
      <c r="A84" s="29" t="s">
        <v>93</v>
      </c>
      <c r="B84" s="38">
        <f>Fs*B82*B68*10^(-6)*B73</f>
        <v>0</v>
      </c>
      <c r="C84" s="29" t="s">
        <v>63</v>
      </c>
      <c r="D84" s="29" t="s">
        <v>94</v>
      </c>
    </row>
    <row r="85" spans="1:4" s="29" customFormat="1" ht="12.9" customHeight="1">
      <c r="A85" s="29" t="s">
        <v>95</v>
      </c>
      <c r="B85" s="38">
        <f>B83+B84</f>
        <v>1.5E-3</v>
      </c>
      <c r="C85" s="29" t="s">
        <v>63</v>
      </c>
      <c r="D85" s="29" t="s">
        <v>96</v>
      </c>
    </row>
    <row r="86" spans="1:4" s="29" customFormat="1" ht="12.9" customHeight="1"/>
    <row r="87" spans="1:4" s="29" customFormat="1" ht="12.9" customHeight="1">
      <c r="A87" s="42" t="s">
        <v>97</v>
      </c>
    </row>
    <row r="88" spans="1:4" s="29" customFormat="1" ht="12.9" customHeight="1">
      <c r="A88" s="29" t="s">
        <v>98</v>
      </c>
      <c r="B88" s="38">
        <f>1.68*10^(-9)*(Fs)^1.35*(57.8*0.5*Irip)^2.263</f>
        <v>1.964230772651955E-3</v>
      </c>
      <c r="C88" s="29" t="s">
        <v>63</v>
      </c>
      <c r="D88" s="29" t="s">
        <v>99</v>
      </c>
    </row>
    <row r="89" spans="1:4" s="29" customFormat="1" ht="12.9" customHeight="1">
      <c r="A89" s="29" t="s">
        <v>100</v>
      </c>
      <c r="B89" s="38">
        <f>DCR/1000*(Iout*SQRT(1+1/3*(Irip/Iout)^2))^2</f>
        <v>1.2351930264836548</v>
      </c>
      <c r="C89" s="29" t="s">
        <v>63</v>
      </c>
      <c r="D89" s="29" t="s">
        <v>101</v>
      </c>
    </row>
    <row r="90" spans="1:4" s="29" customFormat="1" ht="12.9" customHeight="1">
      <c r="A90" s="29" t="s">
        <v>102</v>
      </c>
      <c r="B90" s="38">
        <f>B88+B89</f>
        <v>1.2371572572563068</v>
      </c>
      <c r="C90" s="29" t="s">
        <v>63</v>
      </c>
      <c r="D90" s="29" t="s">
        <v>103</v>
      </c>
    </row>
    <row r="91" spans="1:4" s="29" customFormat="1" ht="12.9" customHeight="1">
      <c r="B91" s="38"/>
    </row>
    <row r="92" spans="1:4" s="29" customFormat="1" ht="12.9" customHeight="1">
      <c r="A92" s="29" t="s">
        <v>104</v>
      </c>
      <c r="B92" s="38"/>
    </row>
    <row r="93" spans="1:4" s="29" customFormat="1" ht="12.9" customHeight="1">
      <c r="A93" s="29" t="s">
        <v>105</v>
      </c>
      <c r="B93" s="38">
        <v>0.2</v>
      </c>
      <c r="C93" s="29" t="s">
        <v>106</v>
      </c>
    </row>
    <row r="94" spans="1:4" s="29" customFormat="1" ht="12.9" customHeight="1">
      <c r="A94" s="29" t="s">
        <v>107</v>
      </c>
      <c r="B94" s="38">
        <v>3</v>
      </c>
      <c r="C94" s="29" t="s">
        <v>106</v>
      </c>
    </row>
    <row r="95" spans="1:4" s="29" customFormat="1" ht="12.9" customHeight="1">
      <c r="A95" s="29" t="s">
        <v>108</v>
      </c>
      <c r="B95" s="38">
        <f>+(Vin-B81)*(B94+B93)/1000</f>
        <v>0.1376</v>
      </c>
      <c r="C95" s="29" t="s">
        <v>63</v>
      </c>
    </row>
    <row r="96" spans="1:4" s="29" customFormat="1" ht="12.9" customHeight="1">
      <c r="B96" s="38"/>
    </row>
    <row r="97" spans="1:4" s="29" customFormat="1" ht="12.9" customHeight="1">
      <c r="A97" s="42" t="s">
        <v>109</v>
      </c>
    </row>
    <row r="98" spans="1:4" s="29" customFormat="1" ht="12.9" customHeight="1">
      <c r="A98" s="29" t="s">
        <v>110</v>
      </c>
      <c r="B98" s="39">
        <f>(0.5*Irip/SQRT(3))^2*B33/B31/1000</f>
        <v>3.822384931370559E-5</v>
      </c>
      <c r="C98" s="29" t="s">
        <v>63</v>
      </c>
      <c r="D98" s="29" t="s">
        <v>111</v>
      </c>
    </row>
    <row r="99" spans="1:4" s="29" customFormat="1" ht="12.9" customHeight="1"/>
    <row r="100" spans="1:4" s="29" customFormat="1" ht="12.9" customHeight="1">
      <c r="A100" s="41" t="s">
        <v>41</v>
      </c>
      <c r="B100" s="43">
        <f>B85+B78+B62+B90+B95</f>
        <v>4.5125038547635645</v>
      </c>
      <c r="C100" s="42" t="s">
        <v>63</v>
      </c>
    </row>
    <row r="101" spans="1:4" s="29" customFormat="1" ht="12.9" customHeight="1">
      <c r="A101" s="41" t="s">
        <v>44</v>
      </c>
      <c r="B101" s="43">
        <f>Vout*Iout/(Vout*Iout+B100)*100</f>
        <v>79.5002700077345</v>
      </c>
      <c r="C101" s="42" t="s">
        <v>13</v>
      </c>
    </row>
    <row r="102" spans="1:4" s="28" customFormat="1" ht="12.9" customHeight="1"/>
    <row r="103" spans="1:4" s="28" customFormat="1" ht="12.9" customHeight="1"/>
    <row r="104" spans="1:4" s="28" customFormat="1" ht="12.9" customHeight="1"/>
    <row r="105" spans="1:4" s="28" customFormat="1" ht="12.9" customHeight="1">
      <c r="B105" s="49"/>
    </row>
    <row r="106" spans="1:4" s="28" customFormat="1" ht="12.9" customHeight="1"/>
    <row r="107" spans="1:4" s="28" customFormat="1" ht="12.9" customHeight="1"/>
    <row r="108" spans="1:4" s="28" customFormat="1" ht="12.9" customHeight="1"/>
    <row r="109" spans="1:4" s="28" customFormat="1" ht="12.9" customHeight="1"/>
    <row r="110" spans="1:4" s="28" customFormat="1" ht="12.9" customHeight="1"/>
    <row r="111" spans="1:4" s="28" customFormat="1" ht="12.9" customHeight="1"/>
    <row r="112" spans="1:4" s="28" customFormat="1" ht="12.9" customHeight="1"/>
    <row r="113" s="28" customFormat="1" ht="12.9" customHeight="1"/>
    <row r="114" s="28" customFormat="1" ht="12.9" customHeight="1"/>
    <row r="115" s="28" customFormat="1" ht="12.9" customHeight="1"/>
    <row r="116" s="28" customFormat="1" ht="12.9" customHeight="1"/>
    <row r="117" s="28" customFormat="1" ht="12.9" customHeight="1"/>
    <row r="118" s="28" customFormat="1" ht="12.9" customHeight="1"/>
    <row r="119" s="28" customFormat="1" ht="12.9" customHeight="1"/>
    <row r="120" s="28" customFormat="1" ht="12.9" customHeight="1"/>
    <row r="121" s="28" customFormat="1" ht="12.9" customHeight="1"/>
    <row r="122" s="28" customFormat="1" ht="12.9" customHeight="1"/>
    <row r="123" s="28" customFormat="1" ht="12.9" customHeight="1"/>
  </sheetData>
  <sheetProtection algorithmName="SHA-512" hashValue="jo+pOhd5+uc0aHAF0j02GDXcdy2sLEY2BqK1HK/KrWeeOP7Te8VXVDHpd9tlPcNeg8pXxFyMRPWAHRmdw3qLLg==" saltValue="zJ6QbBI28oyCPvkDpbUS9g==" spinCount="100000" sheet="1" objects="1" scenarios="1" selectLockedCells="1"/>
  <dataValidations count="1">
    <dataValidation type="list" allowBlank="1" showInputMessage="1" showErrorMessage="1" sqref="B17" xr:uid="{00000000-0002-0000-0000-000000000000}">
      <formula1>$I$34:$I$41</formula1>
    </dataValidation>
  </dataValidations>
  <pageMargins left="0.7" right="0.7" top="0.75" bottom="0.75" header="0.3" footer="0.3"/>
  <pageSetup orientation="portrait" verticalDpi="598" r:id="rId1"/>
  <drawing r:id="rId2"/>
  <legacyDrawing r:id="rId3"/>
  <oleObjects>
    <mc:AlternateContent xmlns:mc="http://schemas.openxmlformats.org/markup-compatibility/2006">
      <mc:Choice Requires="x14">
        <oleObject progId="Visio.Drawing.15" shapeId="1032" r:id="rId4">
          <objectPr defaultSize="0" autoPict="0" r:id="rId5">
            <anchor moveWithCells="1">
              <from>
                <xdr:col>7</xdr:col>
                <xdr:colOff>190500</xdr:colOff>
                <xdr:row>17</xdr:row>
                <xdr:rowOff>53340</xdr:rowOff>
              </from>
              <to>
                <xdr:col>18</xdr:col>
                <xdr:colOff>205740</xdr:colOff>
                <xdr:row>37</xdr:row>
                <xdr:rowOff>137160</xdr:rowOff>
              </to>
            </anchor>
          </objectPr>
        </oleObject>
      </mc:Choice>
      <mc:Fallback>
        <oleObject progId="Visio.Drawing.15" shapeId="1032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184"/>
  <sheetViews>
    <sheetView tabSelected="1" topLeftCell="A9" workbookViewId="0">
      <selection activeCell="B9" sqref="B9"/>
    </sheetView>
  </sheetViews>
  <sheetFormatPr defaultRowHeight="12.9" customHeight="1"/>
  <cols>
    <col min="1" max="1" width="15.6640625" style="2" customWidth="1"/>
    <col min="2" max="2" width="17.109375" style="2" customWidth="1"/>
    <col min="3" max="3" width="11.109375" style="2" customWidth="1"/>
    <col min="4" max="4" width="28" style="2" customWidth="1"/>
    <col min="5" max="5" width="13.88671875" style="2" customWidth="1"/>
    <col min="6" max="6" width="12.88671875" style="2" customWidth="1"/>
    <col min="7" max="7" width="27.109375" style="2" customWidth="1"/>
    <col min="8" max="8" width="23.6640625" style="2" customWidth="1"/>
    <col min="9" max="9" width="10.5546875" style="2" bestFit="1" customWidth="1"/>
    <col min="10" max="256" width="9.109375" style="2"/>
    <col min="257" max="257" width="15.6640625" style="2" customWidth="1"/>
    <col min="258" max="258" width="17.109375" style="2" customWidth="1"/>
    <col min="259" max="259" width="11.109375" style="2" customWidth="1"/>
    <col min="260" max="260" width="28" style="2" customWidth="1"/>
    <col min="261" max="261" width="13.88671875" style="2" customWidth="1"/>
    <col min="262" max="262" width="12.88671875" style="2" customWidth="1"/>
    <col min="263" max="263" width="27.109375" style="2" customWidth="1"/>
    <col min="264" max="264" width="23.6640625" style="2" customWidth="1"/>
    <col min="265" max="512" width="9.109375" style="2"/>
    <col min="513" max="513" width="15.6640625" style="2" customWidth="1"/>
    <col min="514" max="514" width="17.109375" style="2" customWidth="1"/>
    <col min="515" max="515" width="11.109375" style="2" customWidth="1"/>
    <col min="516" max="516" width="28" style="2" customWidth="1"/>
    <col min="517" max="517" width="13.88671875" style="2" customWidth="1"/>
    <col min="518" max="518" width="12.88671875" style="2" customWidth="1"/>
    <col min="519" max="519" width="27.109375" style="2" customWidth="1"/>
    <col min="520" max="520" width="23.6640625" style="2" customWidth="1"/>
    <col min="521" max="768" width="9.109375" style="2"/>
    <col min="769" max="769" width="15.6640625" style="2" customWidth="1"/>
    <col min="770" max="770" width="17.109375" style="2" customWidth="1"/>
    <col min="771" max="771" width="11.109375" style="2" customWidth="1"/>
    <col min="772" max="772" width="28" style="2" customWidth="1"/>
    <col min="773" max="773" width="13.88671875" style="2" customWidth="1"/>
    <col min="774" max="774" width="12.88671875" style="2" customWidth="1"/>
    <col min="775" max="775" width="27.109375" style="2" customWidth="1"/>
    <col min="776" max="776" width="23.6640625" style="2" customWidth="1"/>
    <col min="777" max="1024" width="9.109375" style="2"/>
    <col min="1025" max="1025" width="15.6640625" style="2" customWidth="1"/>
    <col min="1026" max="1026" width="17.109375" style="2" customWidth="1"/>
    <col min="1027" max="1027" width="11.109375" style="2" customWidth="1"/>
    <col min="1028" max="1028" width="28" style="2" customWidth="1"/>
    <col min="1029" max="1029" width="13.88671875" style="2" customWidth="1"/>
    <col min="1030" max="1030" width="12.88671875" style="2" customWidth="1"/>
    <col min="1031" max="1031" width="27.109375" style="2" customWidth="1"/>
    <col min="1032" max="1032" width="23.6640625" style="2" customWidth="1"/>
    <col min="1033" max="1280" width="9.109375" style="2"/>
    <col min="1281" max="1281" width="15.6640625" style="2" customWidth="1"/>
    <col min="1282" max="1282" width="17.109375" style="2" customWidth="1"/>
    <col min="1283" max="1283" width="11.109375" style="2" customWidth="1"/>
    <col min="1284" max="1284" width="28" style="2" customWidth="1"/>
    <col min="1285" max="1285" width="13.88671875" style="2" customWidth="1"/>
    <col min="1286" max="1286" width="12.88671875" style="2" customWidth="1"/>
    <col min="1287" max="1287" width="27.109375" style="2" customWidth="1"/>
    <col min="1288" max="1288" width="23.6640625" style="2" customWidth="1"/>
    <col min="1289" max="1536" width="9.109375" style="2"/>
    <col min="1537" max="1537" width="15.6640625" style="2" customWidth="1"/>
    <col min="1538" max="1538" width="17.109375" style="2" customWidth="1"/>
    <col min="1539" max="1539" width="11.109375" style="2" customWidth="1"/>
    <col min="1540" max="1540" width="28" style="2" customWidth="1"/>
    <col min="1541" max="1541" width="13.88671875" style="2" customWidth="1"/>
    <col min="1542" max="1542" width="12.88671875" style="2" customWidth="1"/>
    <col min="1543" max="1543" width="27.109375" style="2" customWidth="1"/>
    <col min="1544" max="1544" width="23.6640625" style="2" customWidth="1"/>
    <col min="1545" max="1792" width="9.109375" style="2"/>
    <col min="1793" max="1793" width="15.6640625" style="2" customWidth="1"/>
    <col min="1794" max="1794" width="17.109375" style="2" customWidth="1"/>
    <col min="1795" max="1795" width="11.109375" style="2" customWidth="1"/>
    <col min="1796" max="1796" width="28" style="2" customWidth="1"/>
    <col min="1797" max="1797" width="13.88671875" style="2" customWidth="1"/>
    <col min="1798" max="1798" width="12.88671875" style="2" customWidth="1"/>
    <col min="1799" max="1799" width="27.109375" style="2" customWidth="1"/>
    <col min="1800" max="1800" width="23.6640625" style="2" customWidth="1"/>
    <col min="1801" max="2048" width="9.109375" style="2"/>
    <col min="2049" max="2049" width="15.6640625" style="2" customWidth="1"/>
    <col min="2050" max="2050" width="17.109375" style="2" customWidth="1"/>
    <col min="2051" max="2051" width="11.109375" style="2" customWidth="1"/>
    <col min="2052" max="2052" width="28" style="2" customWidth="1"/>
    <col min="2053" max="2053" width="13.88671875" style="2" customWidth="1"/>
    <col min="2054" max="2054" width="12.88671875" style="2" customWidth="1"/>
    <col min="2055" max="2055" width="27.109375" style="2" customWidth="1"/>
    <col min="2056" max="2056" width="23.6640625" style="2" customWidth="1"/>
    <col min="2057" max="2304" width="9.109375" style="2"/>
    <col min="2305" max="2305" width="15.6640625" style="2" customWidth="1"/>
    <col min="2306" max="2306" width="17.109375" style="2" customWidth="1"/>
    <col min="2307" max="2307" width="11.109375" style="2" customWidth="1"/>
    <col min="2308" max="2308" width="28" style="2" customWidth="1"/>
    <col min="2309" max="2309" width="13.88671875" style="2" customWidth="1"/>
    <col min="2310" max="2310" width="12.88671875" style="2" customWidth="1"/>
    <col min="2311" max="2311" width="27.109375" style="2" customWidth="1"/>
    <col min="2312" max="2312" width="23.6640625" style="2" customWidth="1"/>
    <col min="2313" max="2560" width="9.109375" style="2"/>
    <col min="2561" max="2561" width="15.6640625" style="2" customWidth="1"/>
    <col min="2562" max="2562" width="17.109375" style="2" customWidth="1"/>
    <col min="2563" max="2563" width="11.109375" style="2" customWidth="1"/>
    <col min="2564" max="2564" width="28" style="2" customWidth="1"/>
    <col min="2565" max="2565" width="13.88671875" style="2" customWidth="1"/>
    <col min="2566" max="2566" width="12.88671875" style="2" customWidth="1"/>
    <col min="2567" max="2567" width="27.109375" style="2" customWidth="1"/>
    <col min="2568" max="2568" width="23.6640625" style="2" customWidth="1"/>
    <col min="2569" max="2816" width="9.109375" style="2"/>
    <col min="2817" max="2817" width="15.6640625" style="2" customWidth="1"/>
    <col min="2818" max="2818" width="17.109375" style="2" customWidth="1"/>
    <col min="2819" max="2819" width="11.109375" style="2" customWidth="1"/>
    <col min="2820" max="2820" width="28" style="2" customWidth="1"/>
    <col min="2821" max="2821" width="13.88671875" style="2" customWidth="1"/>
    <col min="2822" max="2822" width="12.88671875" style="2" customWidth="1"/>
    <col min="2823" max="2823" width="27.109375" style="2" customWidth="1"/>
    <col min="2824" max="2824" width="23.6640625" style="2" customWidth="1"/>
    <col min="2825" max="3072" width="9.109375" style="2"/>
    <col min="3073" max="3073" width="15.6640625" style="2" customWidth="1"/>
    <col min="3074" max="3074" width="17.109375" style="2" customWidth="1"/>
    <col min="3075" max="3075" width="11.109375" style="2" customWidth="1"/>
    <col min="3076" max="3076" width="28" style="2" customWidth="1"/>
    <col min="3077" max="3077" width="13.88671875" style="2" customWidth="1"/>
    <col min="3078" max="3078" width="12.88671875" style="2" customWidth="1"/>
    <col min="3079" max="3079" width="27.109375" style="2" customWidth="1"/>
    <col min="3080" max="3080" width="23.6640625" style="2" customWidth="1"/>
    <col min="3081" max="3328" width="9.109375" style="2"/>
    <col min="3329" max="3329" width="15.6640625" style="2" customWidth="1"/>
    <col min="3330" max="3330" width="17.109375" style="2" customWidth="1"/>
    <col min="3331" max="3331" width="11.109375" style="2" customWidth="1"/>
    <col min="3332" max="3332" width="28" style="2" customWidth="1"/>
    <col min="3333" max="3333" width="13.88671875" style="2" customWidth="1"/>
    <col min="3334" max="3334" width="12.88671875" style="2" customWidth="1"/>
    <col min="3335" max="3335" width="27.109375" style="2" customWidth="1"/>
    <col min="3336" max="3336" width="23.6640625" style="2" customWidth="1"/>
    <col min="3337" max="3584" width="9.109375" style="2"/>
    <col min="3585" max="3585" width="15.6640625" style="2" customWidth="1"/>
    <col min="3586" max="3586" width="17.109375" style="2" customWidth="1"/>
    <col min="3587" max="3587" width="11.109375" style="2" customWidth="1"/>
    <col min="3588" max="3588" width="28" style="2" customWidth="1"/>
    <col min="3589" max="3589" width="13.88671875" style="2" customWidth="1"/>
    <col min="3590" max="3590" width="12.88671875" style="2" customWidth="1"/>
    <col min="3591" max="3591" width="27.109375" style="2" customWidth="1"/>
    <col min="3592" max="3592" width="23.6640625" style="2" customWidth="1"/>
    <col min="3593" max="3840" width="9.109375" style="2"/>
    <col min="3841" max="3841" width="15.6640625" style="2" customWidth="1"/>
    <col min="3842" max="3842" width="17.109375" style="2" customWidth="1"/>
    <col min="3843" max="3843" width="11.109375" style="2" customWidth="1"/>
    <col min="3844" max="3844" width="28" style="2" customWidth="1"/>
    <col min="3845" max="3845" width="13.88671875" style="2" customWidth="1"/>
    <col min="3846" max="3846" width="12.88671875" style="2" customWidth="1"/>
    <col min="3847" max="3847" width="27.109375" style="2" customWidth="1"/>
    <col min="3848" max="3848" width="23.6640625" style="2" customWidth="1"/>
    <col min="3849" max="4096" width="9.109375" style="2"/>
    <col min="4097" max="4097" width="15.6640625" style="2" customWidth="1"/>
    <col min="4098" max="4098" width="17.109375" style="2" customWidth="1"/>
    <col min="4099" max="4099" width="11.109375" style="2" customWidth="1"/>
    <col min="4100" max="4100" width="28" style="2" customWidth="1"/>
    <col min="4101" max="4101" width="13.88671875" style="2" customWidth="1"/>
    <col min="4102" max="4102" width="12.88671875" style="2" customWidth="1"/>
    <col min="4103" max="4103" width="27.109375" style="2" customWidth="1"/>
    <col min="4104" max="4104" width="23.6640625" style="2" customWidth="1"/>
    <col min="4105" max="4352" width="9.109375" style="2"/>
    <col min="4353" max="4353" width="15.6640625" style="2" customWidth="1"/>
    <col min="4354" max="4354" width="17.109375" style="2" customWidth="1"/>
    <col min="4355" max="4355" width="11.109375" style="2" customWidth="1"/>
    <col min="4356" max="4356" width="28" style="2" customWidth="1"/>
    <col min="4357" max="4357" width="13.88671875" style="2" customWidth="1"/>
    <col min="4358" max="4358" width="12.88671875" style="2" customWidth="1"/>
    <col min="4359" max="4359" width="27.109375" style="2" customWidth="1"/>
    <col min="4360" max="4360" width="23.6640625" style="2" customWidth="1"/>
    <col min="4361" max="4608" width="9.109375" style="2"/>
    <col min="4609" max="4609" width="15.6640625" style="2" customWidth="1"/>
    <col min="4610" max="4610" width="17.109375" style="2" customWidth="1"/>
    <col min="4611" max="4611" width="11.109375" style="2" customWidth="1"/>
    <col min="4612" max="4612" width="28" style="2" customWidth="1"/>
    <col min="4613" max="4613" width="13.88671875" style="2" customWidth="1"/>
    <col min="4614" max="4614" width="12.88671875" style="2" customWidth="1"/>
    <col min="4615" max="4615" width="27.109375" style="2" customWidth="1"/>
    <col min="4616" max="4616" width="23.6640625" style="2" customWidth="1"/>
    <col min="4617" max="4864" width="9.109375" style="2"/>
    <col min="4865" max="4865" width="15.6640625" style="2" customWidth="1"/>
    <col min="4866" max="4866" width="17.109375" style="2" customWidth="1"/>
    <col min="4867" max="4867" width="11.109375" style="2" customWidth="1"/>
    <col min="4868" max="4868" width="28" style="2" customWidth="1"/>
    <col min="4869" max="4869" width="13.88671875" style="2" customWidth="1"/>
    <col min="4870" max="4870" width="12.88671875" style="2" customWidth="1"/>
    <col min="4871" max="4871" width="27.109375" style="2" customWidth="1"/>
    <col min="4872" max="4872" width="23.6640625" style="2" customWidth="1"/>
    <col min="4873" max="5120" width="9.109375" style="2"/>
    <col min="5121" max="5121" width="15.6640625" style="2" customWidth="1"/>
    <col min="5122" max="5122" width="17.109375" style="2" customWidth="1"/>
    <col min="5123" max="5123" width="11.109375" style="2" customWidth="1"/>
    <col min="5124" max="5124" width="28" style="2" customWidth="1"/>
    <col min="5125" max="5125" width="13.88671875" style="2" customWidth="1"/>
    <col min="5126" max="5126" width="12.88671875" style="2" customWidth="1"/>
    <col min="5127" max="5127" width="27.109375" style="2" customWidth="1"/>
    <col min="5128" max="5128" width="23.6640625" style="2" customWidth="1"/>
    <col min="5129" max="5376" width="9.109375" style="2"/>
    <col min="5377" max="5377" width="15.6640625" style="2" customWidth="1"/>
    <col min="5378" max="5378" width="17.109375" style="2" customWidth="1"/>
    <col min="5379" max="5379" width="11.109375" style="2" customWidth="1"/>
    <col min="5380" max="5380" width="28" style="2" customWidth="1"/>
    <col min="5381" max="5381" width="13.88671875" style="2" customWidth="1"/>
    <col min="5382" max="5382" width="12.88671875" style="2" customWidth="1"/>
    <col min="5383" max="5383" width="27.109375" style="2" customWidth="1"/>
    <col min="5384" max="5384" width="23.6640625" style="2" customWidth="1"/>
    <col min="5385" max="5632" width="9.109375" style="2"/>
    <col min="5633" max="5633" width="15.6640625" style="2" customWidth="1"/>
    <col min="5634" max="5634" width="17.109375" style="2" customWidth="1"/>
    <col min="5635" max="5635" width="11.109375" style="2" customWidth="1"/>
    <col min="5636" max="5636" width="28" style="2" customWidth="1"/>
    <col min="5637" max="5637" width="13.88671875" style="2" customWidth="1"/>
    <col min="5638" max="5638" width="12.88671875" style="2" customWidth="1"/>
    <col min="5639" max="5639" width="27.109375" style="2" customWidth="1"/>
    <col min="5640" max="5640" width="23.6640625" style="2" customWidth="1"/>
    <col min="5641" max="5888" width="9.109375" style="2"/>
    <col min="5889" max="5889" width="15.6640625" style="2" customWidth="1"/>
    <col min="5890" max="5890" width="17.109375" style="2" customWidth="1"/>
    <col min="5891" max="5891" width="11.109375" style="2" customWidth="1"/>
    <col min="5892" max="5892" width="28" style="2" customWidth="1"/>
    <col min="5893" max="5893" width="13.88671875" style="2" customWidth="1"/>
    <col min="5894" max="5894" width="12.88671875" style="2" customWidth="1"/>
    <col min="5895" max="5895" width="27.109375" style="2" customWidth="1"/>
    <col min="5896" max="5896" width="23.6640625" style="2" customWidth="1"/>
    <col min="5897" max="6144" width="9.109375" style="2"/>
    <col min="6145" max="6145" width="15.6640625" style="2" customWidth="1"/>
    <col min="6146" max="6146" width="17.109375" style="2" customWidth="1"/>
    <col min="6147" max="6147" width="11.109375" style="2" customWidth="1"/>
    <col min="6148" max="6148" width="28" style="2" customWidth="1"/>
    <col min="6149" max="6149" width="13.88671875" style="2" customWidth="1"/>
    <col min="6150" max="6150" width="12.88671875" style="2" customWidth="1"/>
    <col min="6151" max="6151" width="27.109375" style="2" customWidth="1"/>
    <col min="6152" max="6152" width="23.6640625" style="2" customWidth="1"/>
    <col min="6153" max="6400" width="9.109375" style="2"/>
    <col min="6401" max="6401" width="15.6640625" style="2" customWidth="1"/>
    <col min="6402" max="6402" width="17.109375" style="2" customWidth="1"/>
    <col min="6403" max="6403" width="11.109375" style="2" customWidth="1"/>
    <col min="6404" max="6404" width="28" style="2" customWidth="1"/>
    <col min="6405" max="6405" width="13.88671875" style="2" customWidth="1"/>
    <col min="6406" max="6406" width="12.88671875" style="2" customWidth="1"/>
    <col min="6407" max="6407" width="27.109375" style="2" customWidth="1"/>
    <col min="6408" max="6408" width="23.6640625" style="2" customWidth="1"/>
    <col min="6409" max="6656" width="9.109375" style="2"/>
    <col min="6657" max="6657" width="15.6640625" style="2" customWidth="1"/>
    <col min="6658" max="6658" width="17.109375" style="2" customWidth="1"/>
    <col min="6659" max="6659" width="11.109375" style="2" customWidth="1"/>
    <col min="6660" max="6660" width="28" style="2" customWidth="1"/>
    <col min="6661" max="6661" width="13.88671875" style="2" customWidth="1"/>
    <col min="6662" max="6662" width="12.88671875" style="2" customWidth="1"/>
    <col min="6663" max="6663" width="27.109375" style="2" customWidth="1"/>
    <col min="6664" max="6664" width="23.6640625" style="2" customWidth="1"/>
    <col min="6665" max="6912" width="9.109375" style="2"/>
    <col min="6913" max="6913" width="15.6640625" style="2" customWidth="1"/>
    <col min="6914" max="6914" width="17.109375" style="2" customWidth="1"/>
    <col min="6915" max="6915" width="11.109375" style="2" customWidth="1"/>
    <col min="6916" max="6916" width="28" style="2" customWidth="1"/>
    <col min="6917" max="6917" width="13.88671875" style="2" customWidth="1"/>
    <col min="6918" max="6918" width="12.88671875" style="2" customWidth="1"/>
    <col min="6919" max="6919" width="27.109375" style="2" customWidth="1"/>
    <col min="6920" max="6920" width="23.6640625" style="2" customWidth="1"/>
    <col min="6921" max="7168" width="9.109375" style="2"/>
    <col min="7169" max="7169" width="15.6640625" style="2" customWidth="1"/>
    <col min="7170" max="7170" width="17.109375" style="2" customWidth="1"/>
    <col min="7171" max="7171" width="11.109375" style="2" customWidth="1"/>
    <col min="7172" max="7172" width="28" style="2" customWidth="1"/>
    <col min="7173" max="7173" width="13.88671875" style="2" customWidth="1"/>
    <col min="7174" max="7174" width="12.88671875" style="2" customWidth="1"/>
    <col min="7175" max="7175" width="27.109375" style="2" customWidth="1"/>
    <col min="7176" max="7176" width="23.6640625" style="2" customWidth="1"/>
    <col min="7177" max="7424" width="9.109375" style="2"/>
    <col min="7425" max="7425" width="15.6640625" style="2" customWidth="1"/>
    <col min="7426" max="7426" width="17.109375" style="2" customWidth="1"/>
    <col min="7427" max="7427" width="11.109375" style="2" customWidth="1"/>
    <col min="7428" max="7428" width="28" style="2" customWidth="1"/>
    <col min="7429" max="7429" width="13.88671875" style="2" customWidth="1"/>
    <col min="7430" max="7430" width="12.88671875" style="2" customWidth="1"/>
    <col min="7431" max="7431" width="27.109375" style="2" customWidth="1"/>
    <col min="7432" max="7432" width="23.6640625" style="2" customWidth="1"/>
    <col min="7433" max="7680" width="9.109375" style="2"/>
    <col min="7681" max="7681" width="15.6640625" style="2" customWidth="1"/>
    <col min="7682" max="7682" width="17.109375" style="2" customWidth="1"/>
    <col min="7683" max="7683" width="11.109375" style="2" customWidth="1"/>
    <col min="7684" max="7684" width="28" style="2" customWidth="1"/>
    <col min="7685" max="7685" width="13.88671875" style="2" customWidth="1"/>
    <col min="7686" max="7686" width="12.88671875" style="2" customWidth="1"/>
    <col min="7687" max="7687" width="27.109375" style="2" customWidth="1"/>
    <col min="7688" max="7688" width="23.6640625" style="2" customWidth="1"/>
    <col min="7689" max="7936" width="9.109375" style="2"/>
    <col min="7937" max="7937" width="15.6640625" style="2" customWidth="1"/>
    <col min="7938" max="7938" width="17.109375" style="2" customWidth="1"/>
    <col min="7939" max="7939" width="11.109375" style="2" customWidth="1"/>
    <col min="7940" max="7940" width="28" style="2" customWidth="1"/>
    <col min="7941" max="7941" width="13.88671875" style="2" customWidth="1"/>
    <col min="7942" max="7942" width="12.88671875" style="2" customWidth="1"/>
    <col min="7943" max="7943" width="27.109375" style="2" customWidth="1"/>
    <col min="7944" max="7944" width="23.6640625" style="2" customWidth="1"/>
    <col min="7945" max="8192" width="9.109375" style="2"/>
    <col min="8193" max="8193" width="15.6640625" style="2" customWidth="1"/>
    <col min="8194" max="8194" width="17.109375" style="2" customWidth="1"/>
    <col min="8195" max="8195" width="11.109375" style="2" customWidth="1"/>
    <col min="8196" max="8196" width="28" style="2" customWidth="1"/>
    <col min="8197" max="8197" width="13.88671875" style="2" customWidth="1"/>
    <col min="8198" max="8198" width="12.88671875" style="2" customWidth="1"/>
    <col min="8199" max="8199" width="27.109375" style="2" customWidth="1"/>
    <col min="8200" max="8200" width="23.6640625" style="2" customWidth="1"/>
    <col min="8201" max="8448" width="9.109375" style="2"/>
    <col min="8449" max="8449" width="15.6640625" style="2" customWidth="1"/>
    <col min="8450" max="8450" width="17.109375" style="2" customWidth="1"/>
    <col min="8451" max="8451" width="11.109375" style="2" customWidth="1"/>
    <col min="8452" max="8452" width="28" style="2" customWidth="1"/>
    <col min="8453" max="8453" width="13.88671875" style="2" customWidth="1"/>
    <col min="8454" max="8454" width="12.88671875" style="2" customWidth="1"/>
    <col min="8455" max="8455" width="27.109375" style="2" customWidth="1"/>
    <col min="8456" max="8456" width="23.6640625" style="2" customWidth="1"/>
    <col min="8457" max="8704" width="9.109375" style="2"/>
    <col min="8705" max="8705" width="15.6640625" style="2" customWidth="1"/>
    <col min="8706" max="8706" width="17.109375" style="2" customWidth="1"/>
    <col min="8707" max="8707" width="11.109375" style="2" customWidth="1"/>
    <col min="8708" max="8708" width="28" style="2" customWidth="1"/>
    <col min="8709" max="8709" width="13.88671875" style="2" customWidth="1"/>
    <col min="8710" max="8710" width="12.88671875" style="2" customWidth="1"/>
    <col min="8711" max="8711" width="27.109375" style="2" customWidth="1"/>
    <col min="8712" max="8712" width="23.6640625" style="2" customWidth="1"/>
    <col min="8713" max="8960" width="9.109375" style="2"/>
    <col min="8961" max="8961" width="15.6640625" style="2" customWidth="1"/>
    <col min="8962" max="8962" width="17.109375" style="2" customWidth="1"/>
    <col min="8963" max="8963" width="11.109375" style="2" customWidth="1"/>
    <col min="8964" max="8964" width="28" style="2" customWidth="1"/>
    <col min="8965" max="8965" width="13.88671875" style="2" customWidth="1"/>
    <col min="8966" max="8966" width="12.88671875" style="2" customWidth="1"/>
    <col min="8967" max="8967" width="27.109375" style="2" customWidth="1"/>
    <col min="8968" max="8968" width="23.6640625" style="2" customWidth="1"/>
    <col min="8969" max="9216" width="9.109375" style="2"/>
    <col min="9217" max="9217" width="15.6640625" style="2" customWidth="1"/>
    <col min="9218" max="9218" width="17.109375" style="2" customWidth="1"/>
    <col min="9219" max="9219" width="11.109375" style="2" customWidth="1"/>
    <col min="9220" max="9220" width="28" style="2" customWidth="1"/>
    <col min="9221" max="9221" width="13.88671875" style="2" customWidth="1"/>
    <col min="9222" max="9222" width="12.88671875" style="2" customWidth="1"/>
    <col min="9223" max="9223" width="27.109375" style="2" customWidth="1"/>
    <col min="9224" max="9224" width="23.6640625" style="2" customWidth="1"/>
    <col min="9225" max="9472" width="9.109375" style="2"/>
    <col min="9473" max="9473" width="15.6640625" style="2" customWidth="1"/>
    <col min="9474" max="9474" width="17.109375" style="2" customWidth="1"/>
    <col min="9475" max="9475" width="11.109375" style="2" customWidth="1"/>
    <col min="9476" max="9476" width="28" style="2" customWidth="1"/>
    <col min="9477" max="9477" width="13.88671875" style="2" customWidth="1"/>
    <col min="9478" max="9478" width="12.88671875" style="2" customWidth="1"/>
    <col min="9479" max="9479" width="27.109375" style="2" customWidth="1"/>
    <col min="9480" max="9480" width="23.6640625" style="2" customWidth="1"/>
    <col min="9481" max="9728" width="9.109375" style="2"/>
    <col min="9729" max="9729" width="15.6640625" style="2" customWidth="1"/>
    <col min="9730" max="9730" width="17.109375" style="2" customWidth="1"/>
    <col min="9731" max="9731" width="11.109375" style="2" customWidth="1"/>
    <col min="9732" max="9732" width="28" style="2" customWidth="1"/>
    <col min="9733" max="9733" width="13.88671875" style="2" customWidth="1"/>
    <col min="9734" max="9734" width="12.88671875" style="2" customWidth="1"/>
    <col min="9735" max="9735" width="27.109375" style="2" customWidth="1"/>
    <col min="9736" max="9736" width="23.6640625" style="2" customWidth="1"/>
    <col min="9737" max="9984" width="9.109375" style="2"/>
    <col min="9985" max="9985" width="15.6640625" style="2" customWidth="1"/>
    <col min="9986" max="9986" width="17.109375" style="2" customWidth="1"/>
    <col min="9987" max="9987" width="11.109375" style="2" customWidth="1"/>
    <col min="9988" max="9988" width="28" style="2" customWidth="1"/>
    <col min="9989" max="9989" width="13.88671875" style="2" customWidth="1"/>
    <col min="9990" max="9990" width="12.88671875" style="2" customWidth="1"/>
    <col min="9991" max="9991" width="27.109375" style="2" customWidth="1"/>
    <col min="9992" max="9992" width="23.6640625" style="2" customWidth="1"/>
    <col min="9993" max="10240" width="9.109375" style="2"/>
    <col min="10241" max="10241" width="15.6640625" style="2" customWidth="1"/>
    <col min="10242" max="10242" width="17.109375" style="2" customWidth="1"/>
    <col min="10243" max="10243" width="11.109375" style="2" customWidth="1"/>
    <col min="10244" max="10244" width="28" style="2" customWidth="1"/>
    <col min="10245" max="10245" width="13.88671875" style="2" customWidth="1"/>
    <col min="10246" max="10246" width="12.88671875" style="2" customWidth="1"/>
    <col min="10247" max="10247" width="27.109375" style="2" customWidth="1"/>
    <col min="10248" max="10248" width="23.6640625" style="2" customWidth="1"/>
    <col min="10249" max="10496" width="9.109375" style="2"/>
    <col min="10497" max="10497" width="15.6640625" style="2" customWidth="1"/>
    <col min="10498" max="10498" width="17.109375" style="2" customWidth="1"/>
    <col min="10499" max="10499" width="11.109375" style="2" customWidth="1"/>
    <col min="10500" max="10500" width="28" style="2" customWidth="1"/>
    <col min="10501" max="10501" width="13.88671875" style="2" customWidth="1"/>
    <col min="10502" max="10502" width="12.88671875" style="2" customWidth="1"/>
    <col min="10503" max="10503" width="27.109375" style="2" customWidth="1"/>
    <col min="10504" max="10504" width="23.6640625" style="2" customWidth="1"/>
    <col min="10505" max="10752" width="9.109375" style="2"/>
    <col min="10753" max="10753" width="15.6640625" style="2" customWidth="1"/>
    <col min="10754" max="10754" width="17.109375" style="2" customWidth="1"/>
    <col min="10755" max="10755" width="11.109375" style="2" customWidth="1"/>
    <col min="10756" max="10756" width="28" style="2" customWidth="1"/>
    <col min="10757" max="10757" width="13.88671875" style="2" customWidth="1"/>
    <col min="10758" max="10758" width="12.88671875" style="2" customWidth="1"/>
    <col min="10759" max="10759" width="27.109375" style="2" customWidth="1"/>
    <col min="10760" max="10760" width="23.6640625" style="2" customWidth="1"/>
    <col min="10761" max="11008" width="9.109375" style="2"/>
    <col min="11009" max="11009" width="15.6640625" style="2" customWidth="1"/>
    <col min="11010" max="11010" width="17.109375" style="2" customWidth="1"/>
    <col min="11011" max="11011" width="11.109375" style="2" customWidth="1"/>
    <col min="11012" max="11012" width="28" style="2" customWidth="1"/>
    <col min="11013" max="11013" width="13.88671875" style="2" customWidth="1"/>
    <col min="11014" max="11014" width="12.88671875" style="2" customWidth="1"/>
    <col min="11015" max="11015" width="27.109375" style="2" customWidth="1"/>
    <col min="11016" max="11016" width="23.6640625" style="2" customWidth="1"/>
    <col min="11017" max="11264" width="9.109375" style="2"/>
    <col min="11265" max="11265" width="15.6640625" style="2" customWidth="1"/>
    <col min="11266" max="11266" width="17.109375" style="2" customWidth="1"/>
    <col min="11267" max="11267" width="11.109375" style="2" customWidth="1"/>
    <col min="11268" max="11268" width="28" style="2" customWidth="1"/>
    <col min="11269" max="11269" width="13.88671875" style="2" customWidth="1"/>
    <col min="11270" max="11270" width="12.88671875" style="2" customWidth="1"/>
    <col min="11271" max="11271" width="27.109375" style="2" customWidth="1"/>
    <col min="11272" max="11272" width="23.6640625" style="2" customWidth="1"/>
    <col min="11273" max="11520" width="9.109375" style="2"/>
    <col min="11521" max="11521" width="15.6640625" style="2" customWidth="1"/>
    <col min="11522" max="11522" width="17.109375" style="2" customWidth="1"/>
    <col min="11523" max="11523" width="11.109375" style="2" customWidth="1"/>
    <col min="11524" max="11524" width="28" style="2" customWidth="1"/>
    <col min="11525" max="11525" width="13.88671875" style="2" customWidth="1"/>
    <col min="11526" max="11526" width="12.88671875" style="2" customWidth="1"/>
    <col min="11527" max="11527" width="27.109375" style="2" customWidth="1"/>
    <col min="11528" max="11528" width="23.6640625" style="2" customWidth="1"/>
    <col min="11529" max="11776" width="9.109375" style="2"/>
    <col min="11777" max="11777" width="15.6640625" style="2" customWidth="1"/>
    <col min="11778" max="11778" width="17.109375" style="2" customWidth="1"/>
    <col min="11779" max="11779" width="11.109375" style="2" customWidth="1"/>
    <col min="11780" max="11780" width="28" style="2" customWidth="1"/>
    <col min="11781" max="11781" width="13.88671875" style="2" customWidth="1"/>
    <col min="11782" max="11782" width="12.88671875" style="2" customWidth="1"/>
    <col min="11783" max="11783" width="27.109375" style="2" customWidth="1"/>
    <col min="11784" max="11784" width="23.6640625" style="2" customWidth="1"/>
    <col min="11785" max="12032" width="9.109375" style="2"/>
    <col min="12033" max="12033" width="15.6640625" style="2" customWidth="1"/>
    <col min="12034" max="12034" width="17.109375" style="2" customWidth="1"/>
    <col min="12035" max="12035" width="11.109375" style="2" customWidth="1"/>
    <col min="12036" max="12036" width="28" style="2" customWidth="1"/>
    <col min="12037" max="12037" width="13.88671875" style="2" customWidth="1"/>
    <col min="12038" max="12038" width="12.88671875" style="2" customWidth="1"/>
    <col min="12039" max="12039" width="27.109375" style="2" customWidth="1"/>
    <col min="12040" max="12040" width="23.6640625" style="2" customWidth="1"/>
    <col min="12041" max="12288" width="9.109375" style="2"/>
    <col min="12289" max="12289" width="15.6640625" style="2" customWidth="1"/>
    <col min="12290" max="12290" width="17.109375" style="2" customWidth="1"/>
    <col min="12291" max="12291" width="11.109375" style="2" customWidth="1"/>
    <col min="12292" max="12292" width="28" style="2" customWidth="1"/>
    <col min="12293" max="12293" width="13.88671875" style="2" customWidth="1"/>
    <col min="12294" max="12294" width="12.88671875" style="2" customWidth="1"/>
    <col min="12295" max="12295" width="27.109375" style="2" customWidth="1"/>
    <col min="12296" max="12296" width="23.6640625" style="2" customWidth="1"/>
    <col min="12297" max="12544" width="9.109375" style="2"/>
    <col min="12545" max="12545" width="15.6640625" style="2" customWidth="1"/>
    <col min="12546" max="12546" width="17.109375" style="2" customWidth="1"/>
    <col min="12547" max="12547" width="11.109375" style="2" customWidth="1"/>
    <col min="12548" max="12548" width="28" style="2" customWidth="1"/>
    <col min="12549" max="12549" width="13.88671875" style="2" customWidth="1"/>
    <col min="12550" max="12550" width="12.88671875" style="2" customWidth="1"/>
    <col min="12551" max="12551" width="27.109375" style="2" customWidth="1"/>
    <col min="12552" max="12552" width="23.6640625" style="2" customWidth="1"/>
    <col min="12553" max="12800" width="9.109375" style="2"/>
    <col min="12801" max="12801" width="15.6640625" style="2" customWidth="1"/>
    <col min="12802" max="12802" width="17.109375" style="2" customWidth="1"/>
    <col min="12803" max="12803" width="11.109375" style="2" customWidth="1"/>
    <col min="12804" max="12804" width="28" style="2" customWidth="1"/>
    <col min="12805" max="12805" width="13.88671875" style="2" customWidth="1"/>
    <col min="12806" max="12806" width="12.88671875" style="2" customWidth="1"/>
    <col min="12807" max="12807" width="27.109375" style="2" customWidth="1"/>
    <col min="12808" max="12808" width="23.6640625" style="2" customWidth="1"/>
    <col min="12809" max="13056" width="9.109375" style="2"/>
    <col min="13057" max="13057" width="15.6640625" style="2" customWidth="1"/>
    <col min="13058" max="13058" width="17.109375" style="2" customWidth="1"/>
    <col min="13059" max="13059" width="11.109375" style="2" customWidth="1"/>
    <col min="13060" max="13060" width="28" style="2" customWidth="1"/>
    <col min="13061" max="13061" width="13.88671875" style="2" customWidth="1"/>
    <col min="13062" max="13062" width="12.88671875" style="2" customWidth="1"/>
    <col min="13063" max="13063" width="27.109375" style="2" customWidth="1"/>
    <col min="13064" max="13064" width="23.6640625" style="2" customWidth="1"/>
    <col min="13065" max="13312" width="9.109375" style="2"/>
    <col min="13313" max="13313" width="15.6640625" style="2" customWidth="1"/>
    <col min="13314" max="13314" width="17.109375" style="2" customWidth="1"/>
    <col min="13315" max="13315" width="11.109375" style="2" customWidth="1"/>
    <col min="13316" max="13316" width="28" style="2" customWidth="1"/>
    <col min="13317" max="13317" width="13.88671875" style="2" customWidth="1"/>
    <col min="13318" max="13318" width="12.88671875" style="2" customWidth="1"/>
    <col min="13319" max="13319" width="27.109375" style="2" customWidth="1"/>
    <col min="13320" max="13320" width="23.6640625" style="2" customWidth="1"/>
    <col min="13321" max="13568" width="9.109375" style="2"/>
    <col min="13569" max="13569" width="15.6640625" style="2" customWidth="1"/>
    <col min="13570" max="13570" width="17.109375" style="2" customWidth="1"/>
    <col min="13571" max="13571" width="11.109375" style="2" customWidth="1"/>
    <col min="13572" max="13572" width="28" style="2" customWidth="1"/>
    <col min="13573" max="13573" width="13.88671875" style="2" customWidth="1"/>
    <col min="13574" max="13574" width="12.88671875" style="2" customWidth="1"/>
    <col min="13575" max="13575" width="27.109375" style="2" customWidth="1"/>
    <col min="13576" max="13576" width="23.6640625" style="2" customWidth="1"/>
    <col min="13577" max="13824" width="9.109375" style="2"/>
    <col min="13825" max="13825" width="15.6640625" style="2" customWidth="1"/>
    <col min="13826" max="13826" width="17.109375" style="2" customWidth="1"/>
    <col min="13827" max="13827" width="11.109375" style="2" customWidth="1"/>
    <col min="13828" max="13828" width="28" style="2" customWidth="1"/>
    <col min="13829" max="13829" width="13.88671875" style="2" customWidth="1"/>
    <col min="13830" max="13830" width="12.88671875" style="2" customWidth="1"/>
    <col min="13831" max="13831" width="27.109375" style="2" customWidth="1"/>
    <col min="13832" max="13832" width="23.6640625" style="2" customWidth="1"/>
    <col min="13833" max="14080" width="9.109375" style="2"/>
    <col min="14081" max="14081" width="15.6640625" style="2" customWidth="1"/>
    <col min="14082" max="14082" width="17.109375" style="2" customWidth="1"/>
    <col min="14083" max="14083" width="11.109375" style="2" customWidth="1"/>
    <col min="14084" max="14084" width="28" style="2" customWidth="1"/>
    <col min="14085" max="14085" width="13.88671875" style="2" customWidth="1"/>
    <col min="14086" max="14086" width="12.88671875" style="2" customWidth="1"/>
    <col min="14087" max="14087" width="27.109375" style="2" customWidth="1"/>
    <col min="14088" max="14088" width="23.6640625" style="2" customWidth="1"/>
    <col min="14089" max="14336" width="9.109375" style="2"/>
    <col min="14337" max="14337" width="15.6640625" style="2" customWidth="1"/>
    <col min="14338" max="14338" width="17.109375" style="2" customWidth="1"/>
    <col min="14339" max="14339" width="11.109375" style="2" customWidth="1"/>
    <col min="14340" max="14340" width="28" style="2" customWidth="1"/>
    <col min="14341" max="14341" width="13.88671875" style="2" customWidth="1"/>
    <col min="14342" max="14342" width="12.88671875" style="2" customWidth="1"/>
    <col min="14343" max="14343" width="27.109375" style="2" customWidth="1"/>
    <col min="14344" max="14344" width="23.6640625" style="2" customWidth="1"/>
    <col min="14345" max="14592" width="9.109375" style="2"/>
    <col min="14593" max="14593" width="15.6640625" style="2" customWidth="1"/>
    <col min="14594" max="14594" width="17.109375" style="2" customWidth="1"/>
    <col min="14595" max="14595" width="11.109375" style="2" customWidth="1"/>
    <col min="14596" max="14596" width="28" style="2" customWidth="1"/>
    <col min="14597" max="14597" width="13.88671875" style="2" customWidth="1"/>
    <col min="14598" max="14598" width="12.88671875" style="2" customWidth="1"/>
    <col min="14599" max="14599" width="27.109375" style="2" customWidth="1"/>
    <col min="14600" max="14600" width="23.6640625" style="2" customWidth="1"/>
    <col min="14601" max="14848" width="9.109375" style="2"/>
    <col min="14849" max="14849" width="15.6640625" style="2" customWidth="1"/>
    <col min="14850" max="14850" width="17.109375" style="2" customWidth="1"/>
    <col min="14851" max="14851" width="11.109375" style="2" customWidth="1"/>
    <col min="14852" max="14852" width="28" style="2" customWidth="1"/>
    <col min="14853" max="14853" width="13.88671875" style="2" customWidth="1"/>
    <col min="14854" max="14854" width="12.88671875" style="2" customWidth="1"/>
    <col min="14855" max="14855" width="27.109375" style="2" customWidth="1"/>
    <col min="14856" max="14856" width="23.6640625" style="2" customWidth="1"/>
    <col min="14857" max="15104" width="9.109375" style="2"/>
    <col min="15105" max="15105" width="15.6640625" style="2" customWidth="1"/>
    <col min="15106" max="15106" width="17.109375" style="2" customWidth="1"/>
    <col min="15107" max="15107" width="11.109375" style="2" customWidth="1"/>
    <col min="15108" max="15108" width="28" style="2" customWidth="1"/>
    <col min="15109" max="15109" width="13.88671875" style="2" customWidth="1"/>
    <col min="15110" max="15110" width="12.88671875" style="2" customWidth="1"/>
    <col min="15111" max="15111" width="27.109375" style="2" customWidth="1"/>
    <col min="15112" max="15112" width="23.6640625" style="2" customWidth="1"/>
    <col min="15113" max="15360" width="9.109375" style="2"/>
    <col min="15361" max="15361" width="15.6640625" style="2" customWidth="1"/>
    <col min="15362" max="15362" width="17.109375" style="2" customWidth="1"/>
    <col min="15363" max="15363" width="11.109375" style="2" customWidth="1"/>
    <col min="15364" max="15364" width="28" style="2" customWidth="1"/>
    <col min="15365" max="15365" width="13.88671875" style="2" customWidth="1"/>
    <col min="15366" max="15366" width="12.88671875" style="2" customWidth="1"/>
    <col min="15367" max="15367" width="27.109375" style="2" customWidth="1"/>
    <col min="15368" max="15368" width="23.6640625" style="2" customWidth="1"/>
    <col min="15369" max="15616" width="9.109375" style="2"/>
    <col min="15617" max="15617" width="15.6640625" style="2" customWidth="1"/>
    <col min="15618" max="15618" width="17.109375" style="2" customWidth="1"/>
    <col min="15619" max="15619" width="11.109375" style="2" customWidth="1"/>
    <col min="15620" max="15620" width="28" style="2" customWidth="1"/>
    <col min="15621" max="15621" width="13.88671875" style="2" customWidth="1"/>
    <col min="15622" max="15622" width="12.88671875" style="2" customWidth="1"/>
    <col min="15623" max="15623" width="27.109375" style="2" customWidth="1"/>
    <col min="15624" max="15624" width="23.6640625" style="2" customWidth="1"/>
    <col min="15625" max="15872" width="9.109375" style="2"/>
    <col min="15873" max="15873" width="15.6640625" style="2" customWidth="1"/>
    <col min="15874" max="15874" width="17.109375" style="2" customWidth="1"/>
    <col min="15875" max="15875" width="11.109375" style="2" customWidth="1"/>
    <col min="15876" max="15876" width="28" style="2" customWidth="1"/>
    <col min="15877" max="15877" width="13.88671875" style="2" customWidth="1"/>
    <col min="15878" max="15878" width="12.88671875" style="2" customWidth="1"/>
    <col min="15879" max="15879" width="27.109375" style="2" customWidth="1"/>
    <col min="15880" max="15880" width="23.6640625" style="2" customWidth="1"/>
    <col min="15881" max="16128" width="9.109375" style="2"/>
    <col min="16129" max="16129" width="15.6640625" style="2" customWidth="1"/>
    <col min="16130" max="16130" width="17.109375" style="2" customWidth="1"/>
    <col min="16131" max="16131" width="11.109375" style="2" customWidth="1"/>
    <col min="16132" max="16132" width="28" style="2" customWidth="1"/>
    <col min="16133" max="16133" width="13.88671875" style="2" customWidth="1"/>
    <col min="16134" max="16134" width="12.88671875" style="2" customWidth="1"/>
    <col min="16135" max="16135" width="27.109375" style="2" customWidth="1"/>
    <col min="16136" max="16136" width="23.6640625" style="2" customWidth="1"/>
    <col min="16137" max="16384" width="9.109375" style="2"/>
  </cols>
  <sheetData>
    <row r="1" spans="1:16" ht="164.25" customHeight="1"/>
    <row r="2" spans="1:16" ht="12.9" customHeight="1" thickBo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7" spans="1:16" ht="12.9" customHeight="1">
      <c r="A7" s="25" t="s">
        <v>112</v>
      </c>
      <c r="B7" s="26"/>
      <c r="C7" s="26"/>
      <c r="D7" s="26"/>
      <c r="E7" s="26"/>
      <c r="F7" s="26"/>
    </row>
    <row r="9" spans="1:16" ht="12.9" customHeight="1">
      <c r="A9" s="2" t="s">
        <v>113</v>
      </c>
      <c r="B9" s="30">
        <v>1E-3</v>
      </c>
      <c r="C9" s="4" t="s">
        <v>8</v>
      </c>
      <c r="D9" s="2" t="s">
        <v>114</v>
      </c>
      <c r="E9" s="20">
        <f>+Irip/2</f>
        <v>0.27649176954732513</v>
      </c>
      <c r="F9" s="4" t="s">
        <v>8</v>
      </c>
      <c r="G9" s="12"/>
      <c r="H9" s="12"/>
      <c r="I9" s="12"/>
    </row>
    <row r="10" spans="1:16" ht="12.9" customHeight="1">
      <c r="A10" s="2" t="s">
        <v>115</v>
      </c>
      <c r="B10" s="34">
        <f>+Iout</f>
        <v>3.5</v>
      </c>
      <c r="C10" s="4" t="s">
        <v>8</v>
      </c>
      <c r="D10" s="12"/>
      <c r="E10" s="12"/>
      <c r="F10" s="12"/>
      <c r="G10" s="12"/>
      <c r="H10" s="12"/>
      <c r="I10" s="6" t="str">
        <f>IF(B10&gt;6,"Over Limit of IC!"," ")</f>
        <v xml:space="preserve"> </v>
      </c>
    </row>
    <row r="11" spans="1:16" s="12" customFormat="1" ht="16.5" customHeight="1">
      <c r="A11" s="24"/>
      <c r="B11" s="24"/>
      <c r="C11" s="24"/>
      <c r="D11" s="24"/>
      <c r="E11" s="24"/>
      <c r="F11" s="24"/>
      <c r="G11" s="24"/>
      <c r="H11" s="24"/>
      <c r="I11" s="24"/>
      <c r="J11" s="24"/>
    </row>
    <row r="12" spans="1:16" s="28" customFormat="1" ht="12.9" customHeight="1">
      <c r="A12" s="28" t="s">
        <v>7</v>
      </c>
      <c r="B12" s="28" t="s">
        <v>116</v>
      </c>
      <c r="C12" s="28" t="s">
        <v>44</v>
      </c>
      <c r="D12" s="28" t="s">
        <v>117</v>
      </c>
      <c r="E12" s="28" t="s">
        <v>118</v>
      </c>
      <c r="F12" s="28" t="s">
        <v>119</v>
      </c>
      <c r="G12" s="28" t="s">
        <v>120</v>
      </c>
      <c r="H12" s="28" t="s">
        <v>121</v>
      </c>
      <c r="I12" s="28" t="s">
        <v>122</v>
      </c>
    </row>
    <row r="13" spans="1:16" s="28" customFormat="1" ht="12.9" customHeight="1">
      <c r="A13" s="46">
        <f>+Imin</f>
        <v>1E-3</v>
      </c>
      <c r="B13" s="47">
        <f>SUM(D13:I13)</f>
        <v>8.2076906071524749E-2</v>
      </c>
      <c r="C13" s="48">
        <f>(Vout*A13)/((Vout*A13)+B13)*100</f>
        <v>5.7420505913393534</v>
      </c>
      <c r="D13" s="49">
        <f>F44^2*Ron_u/'Power Loss'!$B$56/1000+Vin*(A13-0.5*E44)*'Power Loss'!$B$54*10^(-9)*B44/2+Vin*(A13+0.5*E44)*'Power Loss'!$B$55*10^(-9)*B44/2+Vin*B44*'Power Loss'!$B$50*10^(-9)*'Power Loss'!$B$56+0.5*'Power Loss'!$B$53*10^(-9)*Vin^2*B44*'Power Loss'!$B$56</f>
        <v>2.896930802643595E-2</v>
      </c>
      <c r="E13" s="49">
        <f>C44*'Power Loss'!$B$66*(1-(Vout + (C44*((DCR+Ron_l)/1000)))/(Vin+(C44*((Ron_l-Ron_u)/1000))))+'Power Loss'!$B$70*10^(-9)*'Power Loss'!$B$73*Vin^2*B44/2</f>
        <v>1.8924464992247762E-2</v>
      </c>
      <c r="F13" s="49">
        <f>B44/1000*'Power Loss'!$B$81*'Power Loss'!$B$51*10^(-6)*'Power Loss'!$B$56+B44/1000*'Power Loss'!$B$82*'Power Loss'!$B$68*10^(-6)*'Power Loss'!$B$73</f>
        <v>5.0120849527418663E-4</v>
      </c>
      <c r="G13" s="49">
        <f>1.68*10^(-9)*(B44/1000)^1.35*(57.8*0.5*E44)^2.263+DCR/1000*(A13*SQRT(1+1/3*(E44/A13)^2))^2</f>
        <v>1.0640994166048112E-2</v>
      </c>
      <c r="H13" s="49">
        <f>(0.5*E44/SQRT(3))^2*'Power Loss'!$B$33/'Power Loss'!$B$31/1000</f>
        <v>3.8226262711251987E-5</v>
      </c>
      <c r="I13" s="50">
        <f>+(Vin-'Power Loss'!$B$81)*('Power Loss'!$B$93*0.001+'Power Loss'!$B$94*0.001*('Efficiency Summary'!B44/(Fs*1000))^2)</f>
        <v>2.3002704128807495E-2</v>
      </c>
    </row>
    <row r="14" spans="1:16" s="28" customFormat="1" ht="12.9" customHeight="1">
      <c r="A14" s="46">
        <f>Imin+(Imax-Imin)*0.001</f>
        <v>4.4990000000000004E-3</v>
      </c>
      <c r="B14" s="47">
        <f t="shared" ref="B14:B40" si="0">SUM(D14:I14)</f>
        <v>8.6014422096612489E-2</v>
      </c>
      <c r="C14" s="48">
        <f t="shared" ref="C14:C23" si="1">Vout*A14/(Vout*A14+B14)*100</f>
        <v>20.73091862932543</v>
      </c>
      <c r="D14" s="49">
        <f>F45^2*Ron_u/'Power Loss'!$B$56/1000+Vin*(A14-0.5*E45)*'Power Loss'!$B$54*10^(-9)*B45/2+Vin*(A14+0.5*E45)*'Power Loss'!$B$55*10^(-9)*B45/2+Vin*B45*'Power Loss'!$B$50*10^(-9)*'Power Loss'!$B$56+0.5*'Power Loss'!$B$53*10^(-9)*Vin^2*B45*'Power Loss'!$B$56</f>
        <v>2.9409173460961294E-2</v>
      </c>
      <c r="E14" s="49">
        <f>C45*'Power Loss'!$B$66*(1-(Vout + (C45*((DCR+Ron_l)/1000)))/(Vin+(C45*((Ron_l-Ron_u)/1000))))+'Power Loss'!$B$70*10^(-9)*'Power Loss'!$B$73*Vin^2*B45/2</f>
        <v>2.0649283622230397E-2</v>
      </c>
      <c r="F14" s="49">
        <f>B45/1000*'Power Loss'!$B$81*'Power Loss'!$B$51*10^(-6)*'Power Loss'!$B$56+B45/1000*'Power Loss'!$B$82*'Power Loss'!$B$68*10^(-6)*'Power Loss'!$B$73</f>
        <v>5.0548339357178143E-4</v>
      </c>
      <c r="G14" s="49">
        <f t="shared" ref="G14:G40" si="2">1.68*10^(-9)*(Fs)^1.35*(57.8*0.5*E45)^2.263+DCR/1000*(A14*SQRT(1+1/3*(E45/A14)^2))^2</f>
        <v>1.2162808470814749E-2</v>
      </c>
      <c r="H14" s="49">
        <f>(0.5*E45/SQRT(3))^2*'Power Loss'!$B$33/'Power Loss'!$B$31/1000</f>
        <v>3.8234708228514727E-5</v>
      </c>
      <c r="I14" s="50">
        <f>+(Vin-'Power Loss'!$B$81)*('Power Loss'!$B$93*0.001+'Power Loss'!$B$94*0.001*('Efficiency Summary'!B45/(Fs*1000))^2)</f>
        <v>2.324943844080575E-2</v>
      </c>
    </row>
    <row r="15" spans="1:16" s="28" customFormat="1" ht="12.9" customHeight="1">
      <c r="A15" s="46">
        <f>Imin+(Imax-Imin)*0.002</f>
        <v>7.9980000000000016E-3</v>
      </c>
      <c r="B15" s="47">
        <f t="shared" si="0"/>
        <v>8.8455337339733042E-2</v>
      </c>
      <c r="C15" s="48">
        <f t="shared" si="1"/>
        <v>31.133866614580157</v>
      </c>
      <c r="D15" s="49">
        <f>F46^2*Ron_u/'Power Loss'!$B$56/1000+Vin*(A15-0.5*E46)*'Power Loss'!$B$54*10^(-9)*B46/2+Vin*(A15+0.5*E46)*'Power Loss'!$B$55*10^(-9)*B46/2+Vin*B46*'Power Loss'!$B$50*10^(-9)*'Power Loss'!$B$56+0.5*'Power Loss'!$B$53*10^(-9)*Vin^2*B46*'Power Loss'!$B$56</f>
        <v>2.9857996341935346E-2</v>
      </c>
      <c r="E15" s="49">
        <f>C46*'Power Loss'!$B$66*(1-(Vout + (C46*((DCR+Ron_l)/1000)))/(Vin+(C46*((Ron_l-Ron_u)/1000))))+'Power Loss'!$B$70*10^(-9)*'Power Loss'!$B$73*Vin^2*B46/2</f>
        <v>2.2376773336874996E-2</v>
      </c>
      <c r="F15" s="49">
        <f>B46/1000*'Power Loss'!$B$81*'Power Loss'!$B$51*10^(-6)*'Power Loss'!$B$56+B46/1000*'Power Loss'!$B$82*'Power Loss'!$B$68*10^(-6)*'Power Loss'!$B$73</f>
        <v>5.0983184195963372E-4</v>
      </c>
      <c r="G15" s="49">
        <f t="shared" si="2"/>
        <v>1.2169924924579236E-2</v>
      </c>
      <c r="H15" s="49">
        <f>(0.5*E46/SQRT(3))^2*'Power Loss'!$B$33/'Power Loss'!$B$31/1000</f>
        <v>3.8243155362518389E-5</v>
      </c>
      <c r="I15" s="50">
        <f>+(Vin-'Power Loss'!$B$81)*('Power Loss'!$B$93*0.001+'Power Loss'!$B$94*0.001*('Efficiency Summary'!B46/(Fs*1000))^2)</f>
        <v>2.3502567739021304E-2</v>
      </c>
    </row>
    <row r="16" spans="1:16" s="28" customFormat="1" ht="12.9" customHeight="1">
      <c r="A16" s="46">
        <f>Imin+(Imax-Imin)*0.004</f>
        <v>1.4996000000000002E-2</v>
      </c>
      <c r="B16" s="47">
        <f t="shared" si="0"/>
        <v>9.3400794344845328E-2</v>
      </c>
      <c r="C16" s="48">
        <f t="shared" si="1"/>
        <v>44.530019169787451</v>
      </c>
      <c r="D16" s="49">
        <f>F47^2*Ron_u/'Power Loss'!$B$56/1000+Vin*(A16-0.5*E47)*'Power Loss'!$B$54*10^(-9)*B47/2+Vin*(A16+0.5*E47)*'Power Loss'!$B$55*10^(-9)*B47/2+Vin*B47*'Power Loss'!$B$50*10^(-9)*'Power Loss'!$B$56+0.5*'Power Loss'!$B$53*10^(-9)*Vin^2*B47*'Power Loss'!$B$56</f>
        <v>3.0783308346160769E-2</v>
      </c>
      <c r="E16" s="49">
        <f>C47*'Power Loss'!$B$66*(1-(Vout + (C47*((DCR+Ron_l)/1000)))/(Vin+(C47*((Ron_l-Ron_u)/1000))))+'Power Loss'!$B$70*10^(-9)*'Power Loss'!$B$73*Vin^2*B47/2</f>
        <v>2.5840050794991496E-2</v>
      </c>
      <c r="F16" s="49">
        <f>B47/1000*'Power Loss'!$B$81*'Power Loss'!$B$51*10^(-6)*'Power Loss'!$B$56+B47/1000*'Power Loss'!$B$82*'Power Loss'!$B$68*10^(-6)*'Power Loss'!$B$73</f>
        <v>5.1875711454873585E-4</v>
      </c>
      <c r="G16" s="49">
        <f t="shared" si="2"/>
        <v>1.2191505251352997E-2</v>
      </c>
      <c r="H16" s="49">
        <f>(0.5*E47/SQRT(3))^2*'Power Loss'!$B$33/'Power Loss'!$B$31/1000</f>
        <v>3.8260054481987135E-5</v>
      </c>
      <c r="I16" s="50">
        <f>+(Vin-'Power Loss'!$B$81)*('Power Loss'!$B$93*0.001+'Power Loss'!$B$94*0.001*('Efficiency Summary'!B47/(Fs*1000))^2)</f>
        <v>2.402891278330934E-2</v>
      </c>
    </row>
    <row r="17" spans="1:9" s="28" customFormat="1" ht="12.9" customHeight="1">
      <c r="A17" s="46">
        <f>Imin+(Imax-Imin)*0.006</f>
        <v>2.1994000000000003E-2</v>
      </c>
      <c r="B17" s="47">
        <f t="shared" si="0"/>
        <v>9.8434597637810553E-2</v>
      </c>
      <c r="C17" s="48">
        <f t="shared" si="1"/>
        <v>52.767549874844178</v>
      </c>
      <c r="D17" s="49">
        <f>F48^2*Ron_u/'Power Loss'!$B$56/1000+Vin*(A17-0.5*E48)*'Power Loss'!$B$54*10^(-9)*B48/2+Vin*(A17+0.5*E48)*'Power Loss'!$B$55*10^(-9)*B48/2+Vin*B48*'Power Loss'!$B$50*10^(-9)*'Power Loss'!$B$56+0.5*'Power Loss'!$B$53*10^(-9)*Vin^2*B48*'Power Loss'!$B$56</f>
        <v>3.1746902408169686E-2</v>
      </c>
      <c r="E17" s="49">
        <f>C48*'Power Loss'!$B$66*(1-(Vout + (C48*((DCR+Ron_l)/1000)))/(Vin+(C48*((Ron_l-Ron_u)/1000))))+'Power Loss'!$B$70*10^(-9)*'Power Loss'!$B$73*Vin^2*B48/2</f>
        <v>2.9314892288944919E-2</v>
      </c>
      <c r="F17" s="49">
        <f>B48/1000*'Power Loss'!$B$81*'Power Loss'!$B$51*10^(-6)*'Power Loss'!$B$56+B48/1000*'Power Loss'!$B$82*'Power Loss'!$B$68*10^(-6)*'Power Loss'!$B$73</f>
        <v>5.2800045240454019E-4</v>
      </c>
      <c r="G17" s="49">
        <f t="shared" si="2"/>
        <v>1.2222882137827054E-2</v>
      </c>
      <c r="H17" s="49">
        <f>(0.5*E48/SQRT(3))^2*'Power Loss'!$B$33/'Power Loss'!$B$31/1000</f>
        <v>3.8276960072136419E-5</v>
      </c>
      <c r="I17" s="50">
        <f>+(Vin-'Power Loss'!$B$81)*('Power Loss'!$B$93*0.001+'Power Loss'!$B$94*0.001*('Efficiency Summary'!B48/(Fs*1000))^2)</f>
        <v>2.4583643390392221E-2</v>
      </c>
    </row>
    <row r="18" spans="1:9" s="28" customFormat="1" ht="12.9" customHeight="1">
      <c r="A18" s="46">
        <f>Imin+(Imax-Imin)*0.008</f>
        <v>2.8992000000000004E-2</v>
      </c>
      <c r="B18" s="47">
        <f t="shared" si="0"/>
        <v>0.10356125946551059</v>
      </c>
      <c r="C18" s="48">
        <f t="shared" si="1"/>
        <v>58.32901390881505</v>
      </c>
      <c r="D18" s="49">
        <f>F49^2*Ron_u/'Power Loss'!$B$56/1000+Vin*(A18-0.5*E49)*'Power Loss'!$B$54*10^(-9)*B49/2+Vin*(A18+0.5*E49)*'Power Loss'!$B$55*10^(-9)*B49/2+Vin*B49*'Power Loss'!$B$50*10^(-9)*'Power Loss'!$B$56+0.5*'Power Loss'!$B$53*10^(-9)*Vin^2*B49*'Power Loss'!$B$56</f>
        <v>3.2750556966733978E-2</v>
      </c>
      <c r="E18" s="49">
        <f>C49*'Power Loss'!$B$66*(1-(Vout + (C49*((DCR+Ron_l)/1000)))/(Vin+(C49*((Ron_l-Ron_u)/1000))))+'Power Loss'!$B$70*10^(-9)*'Power Loss'!$B$73*Vin^2*B49/2</f>
        <v>3.2801935915015415E-2</v>
      </c>
      <c r="F18" s="49">
        <f>B49/1000*'Power Loss'!$B$81*'Power Loss'!$B$51*10^(-6)*'Power Loss'!$B$56+B49/1000*'Power Loss'!$B$82*'Power Loss'!$B$68*10^(-6)*'Power Loss'!$B$73</f>
        <v>5.3757916605831049E-4</v>
      </c>
      <c r="G18" s="49">
        <f t="shared" si="2"/>
        <v>1.2264055584850402E-2</v>
      </c>
      <c r="H18" s="49">
        <f>(0.5*E49/SQRT(3))^2*'Power Loss'!$B$33/'Power Loss'!$B$31/1000</f>
        <v>3.8293872135445487E-5</v>
      </c>
      <c r="I18" s="50">
        <f>+(Vin-'Power Loss'!$B$81)*('Power Loss'!$B$93*0.001+'Power Loss'!$B$94*0.001*('Efficiency Summary'!B49/(Fs*1000))^2)</f>
        <v>2.5168837960717054E-2</v>
      </c>
    </row>
    <row r="19" spans="1:9" s="28" customFormat="1" ht="12.9" customHeight="1">
      <c r="A19" s="46">
        <f>Imin+(Imax-Imin)*0.01</f>
        <v>3.5990000000000001E-2</v>
      </c>
      <c r="B19" s="47">
        <f t="shared" si="0"/>
        <v>0.1087856654466384</v>
      </c>
      <c r="C19" s="48">
        <f t="shared" si="1"/>
        <v>62.323440272485762</v>
      </c>
      <c r="D19" s="49">
        <f>F50^2*Ron_u/'Power Loss'!$B$56/1000+Vin*(A19-0.5*E50)*'Power Loss'!$B$54*10^(-9)*B50/2+Vin*(A19+0.5*E50)*'Power Loss'!$B$55*10^(-9)*B50/2+Vin*B50*'Power Loss'!$B$50*10^(-9)*'Power Loss'!$B$56+0.5*'Power Loss'!$B$53*10^(-9)*Vin^2*B50*'Power Loss'!$B$56</f>
        <v>3.3796181622677696E-2</v>
      </c>
      <c r="E19" s="49">
        <f>C50*'Power Loss'!$B$66*(1-(Vout + (C50*((DCR+Ron_l)/1000)))/(Vin+(C50*((Ron_l-Ron_u)/1000))))+'Power Loss'!$B$70*10^(-9)*'Power Loss'!$B$73*Vin^2*B50/2</f>
        <v>3.6301866931971877E-2</v>
      </c>
      <c r="F19" s="49">
        <f>B50/1000*'Power Loss'!$B$81*'Power Loss'!$B$51*10^(-6)*'Power Loss'!$B$56+B50/1000*'Power Loss'!$B$82*'Power Loss'!$B$68*10^(-6)*'Power Loss'!$B$73</f>
        <v>5.4751184540604246E-4</v>
      </c>
      <c r="G19" s="49">
        <f t="shared" si="2"/>
        <v>1.2315025593272385E-2</v>
      </c>
      <c r="H19" s="49">
        <f>(0.5*E50/SQRT(3))^2*'Power Loss'!$B$33/'Power Loss'!$B$31/1000</f>
        <v>3.8310790674394648E-5</v>
      </c>
      <c r="I19" s="50">
        <f>+(Vin-'Power Loss'!$B$81)*('Power Loss'!$B$93*0.001+'Power Loss'!$B$94*0.001*('Efficiency Summary'!B50/(Fs*1000))^2)</f>
        <v>2.5786768662635996E-2</v>
      </c>
    </row>
    <row r="20" spans="1:9" s="28" customFormat="1" ht="12.9" customHeight="1">
      <c r="A20" s="46">
        <f>Imin+(Imax-Imin)*0.02</f>
        <v>7.0980000000000001E-2</v>
      </c>
      <c r="B20" s="47">
        <f t="shared" si="0"/>
        <v>0.13657634635053767</v>
      </c>
      <c r="C20" s="48">
        <f t="shared" si="1"/>
        <v>72.211003161253501</v>
      </c>
      <c r="D20" s="49">
        <f>F51^2*Ron_u/'Power Loss'!$B$56/1000+Vin*(A20-0.5*E51)*'Power Loss'!$B$54*10^(-9)*B51/2+Vin*(A20+0.5*E51)*'Power Loss'!$B$55*10^(-9)*B51/2+Vin*B51*'Power Loss'!$B$50*10^(-9)*'Power Loss'!$B$56+0.5*'Power Loss'!$B$53*10^(-9)*Vin^2*B51*'Power Loss'!$B$56</f>
        <v>3.97315558916954E-2</v>
      </c>
      <c r="E20" s="49">
        <f>C51*'Power Loss'!$B$66*(1-(Vout + (C51*((DCR+Ron_l)/1000)))/(Vin+(C51*((Ron_l-Ron_u)/1000))))+'Power Loss'!$B$70*10^(-9)*'Power Loss'!$B$73*Vin^2*B51/2</f>
        <v>5.4022723176849294E-2</v>
      </c>
      <c r="F20" s="49">
        <f>B51/1000*'Power Loss'!$B$81*'Power Loss'!$B$51*10^(-6)*'Power Loss'!$B$56+B51/1000*'Power Loss'!$B$82*'Power Loss'!$B$68*10^(-6)*'Power Loss'!$B$73</f>
        <v>6.0324133747683979E-4</v>
      </c>
      <c r="G20" s="49">
        <f t="shared" si="2"/>
        <v>1.2716824086116968E-2</v>
      </c>
      <c r="H20" s="49">
        <f>(0.5*E51/SQRT(3))^2*'Power Loss'!$B$33/'Power Loss'!$B$31/1000</f>
        <v>3.839548059063104E-5</v>
      </c>
      <c r="I20" s="50">
        <f>+(Vin-'Power Loss'!$B$81)*('Power Loss'!$B$93*0.001+'Power Loss'!$B$94*0.001*('Efficiency Summary'!B51/(Fs*1000))^2)</f>
        <v>2.9463606377808541E-2</v>
      </c>
    </row>
    <row r="21" spans="1:9" s="28" customFormat="1" ht="12.9" customHeight="1">
      <c r="A21" s="46">
        <f>Imin+(Imax-Imin)*0.04</f>
        <v>0.14096</v>
      </c>
      <c r="B21" s="47">
        <f t="shared" si="0"/>
        <v>0.20398322722307644</v>
      </c>
      <c r="C21" s="48">
        <f t="shared" si="1"/>
        <v>77.554248239552365</v>
      </c>
      <c r="D21" s="49">
        <f>F52^2*Ron_u/'Power Loss'!$B$56/1000+Vin*(A21-0.5*E52)*'Power Loss'!$B$54*10^(-9)*B52/2+Vin*(A21+0.5*E52)*'Power Loss'!$B$55*10^(-9)*B52/2+Vin*B52*'Power Loss'!$B$50*10^(-9)*'Power Loss'!$B$56+0.5*'Power Loss'!$B$53*10^(-9)*Vin^2*B52*'Power Loss'!$B$56</f>
        <v>5.6411767025910338E-2</v>
      </c>
      <c r="E21" s="49">
        <f>C52*'Power Loss'!$B$66*(1-(Vout + (C52*((DCR+Ron_l)/1000)))/(Vin+(C52*((Ron_l-Ron_u)/1000))))+'Power Loss'!$B$70*10^(-9)*'Power Loss'!$B$73*Vin^2*B52/2</f>
        <v>9.1027700937943629E-2</v>
      </c>
      <c r="F21" s="49">
        <f>B52/1000*'Power Loss'!$B$81*'Power Loss'!$B$51*10^(-6)*'Power Loss'!$B$56+B52/1000*'Power Loss'!$B$82*'Power Loss'!$B$68*10^(-6)*'Power Loss'!$B$73</f>
        <v>7.574351810223579E-4</v>
      </c>
      <c r="G21" s="49">
        <f t="shared" si="2"/>
        <v>1.4255163666186687E-2</v>
      </c>
      <c r="H21" s="49">
        <f>(0.5*E52/SQRT(3))^2*'Power Loss'!$B$33/'Power Loss'!$B$31/1000</f>
        <v>3.8565347525440799E-5</v>
      </c>
      <c r="I21" s="50">
        <f>+(Vin-'Power Loss'!$B$81)*('Power Loss'!$B$93*0.001+'Power Loss'!$B$94*0.001*('Efficiency Summary'!B52/(Fs*1000))^2)</f>
        <v>4.1492595064488005E-2</v>
      </c>
    </row>
    <row r="22" spans="1:9" s="28" customFormat="1" ht="12.9" customHeight="1">
      <c r="A22" s="46">
        <f>Imin+(Imax-Imin)*0.06</f>
        <v>0.21093999999999999</v>
      </c>
      <c r="B22" s="47">
        <f t="shared" si="0"/>
        <v>0.30223230089113012</v>
      </c>
      <c r="C22" s="48">
        <f t="shared" si="1"/>
        <v>77.726795898907639</v>
      </c>
      <c r="D22" s="49">
        <f>F53^2*Ron_u/'Power Loss'!$B$56/1000+Vin*(A22-0.5*E53)*'Power Loss'!$B$54*10^(-9)*B53/2+Vin*(A22+0.5*E53)*'Power Loss'!$B$55*10^(-9)*B53/2+Vin*B53*'Power Loss'!$B$50*10^(-9)*'Power Loss'!$B$56+0.5*'Power Loss'!$B$53*10^(-9)*Vin^2*B53*'Power Loss'!$B$56</f>
        <v>8.4522447967644618E-2</v>
      </c>
      <c r="E22" s="49">
        <f>C53*'Power Loss'!$B$66*(1-(Vout + (C53*((DCR+Ron_l)/1000)))/(Vin+(C53*((Ron_l-Ron_u)/1000))))+'Power Loss'!$B$70*10^(-9)*'Power Loss'!$B$73*Vin^2*B53/2</f>
        <v>0.13192017613023749</v>
      </c>
      <c r="F22" s="49">
        <f>B53/1000*'Power Loss'!$B$81*'Power Loss'!$B$51*10^(-6)*'Power Loss'!$B$56+B53/1000*'Power Loss'!$B$82*'Power Loss'!$B$68*10^(-6)*'Power Loss'!$B$73</f>
        <v>1.0175231302411432E-3</v>
      </c>
      <c r="G22" s="49">
        <f t="shared" si="2"/>
        <v>1.677316075065604E-2</v>
      </c>
      <c r="H22" s="49">
        <f>(0.5*E53/SQRT(3))^2*'Power Loss'!$B$33/'Power Loss'!$B$31/1000</f>
        <v>3.8735866008685073E-5</v>
      </c>
      <c r="I22" s="50">
        <f>+(Vin-'Power Loss'!$B$81)*('Power Loss'!$B$93*0.001+'Power Loss'!$B$94*0.001*('Efficiency Summary'!B53/(Fs*1000))^2)</f>
        <v>6.7960257046342121E-2</v>
      </c>
    </row>
    <row r="23" spans="1:9" s="28" customFormat="1" ht="12.9" customHeight="1">
      <c r="A23" s="46">
        <f>Imin+(Imax-Imin)*0.1</f>
        <v>0.35090000000000005</v>
      </c>
      <c r="B23" s="47">
        <f t="shared" si="0"/>
        <v>0.52762821327444476</v>
      </c>
      <c r="C23" s="48">
        <f t="shared" si="1"/>
        <v>76.879992534801858</v>
      </c>
      <c r="D23" s="49">
        <f>F54^2*Ron_u/'Power Loss'!$B$56/1000+Vin*(A23-0.5*E54)*'Power Loss'!$B$54*10^(-9)*B54/2+Vin*(A23+0.5*E54)*'Power Loss'!$B$55*10^(-9)*B54/2+Vin*B54*'Power Loss'!$B$50*10^(-9)*'Power Loss'!$B$56+0.5*'Power Loss'!$B$53*10^(-9)*Vin^2*B54*'Power Loss'!$B$56</f>
        <v>0.15147432051119911</v>
      </c>
      <c r="E23" s="49">
        <f>C54*'Power Loss'!$B$66*(1-(Vout + (C54*((DCR+Ron_l)/1000)))/(Vin+(C54*((Ron_l-Ron_u)/1000))))+'Power Loss'!$B$70*10^(-9)*'Power Loss'!$B$73*Vin^2*B54/2</f>
        <v>0.2122666830283178</v>
      </c>
      <c r="F23" s="49">
        <f>B54/1000*'Power Loss'!$B$81*'Power Loss'!$B$51*10^(-6)*'Power Loss'!$B$56+B54/1000*'Power Loss'!$B$82*'Power Loss'!$B$68*10^(-6)*'Power Loss'!$B$73</f>
        <v>1.5E-3</v>
      </c>
      <c r="G23" s="49">
        <f t="shared" si="2"/>
        <v>2.4748130867280057E-2</v>
      </c>
      <c r="H23" s="49">
        <f>(0.5*E54/SQRT(3))^2*'Power Loss'!$B$33/'Power Loss'!$B$31/1000</f>
        <v>3.9078867647884936E-5</v>
      </c>
      <c r="I23" s="50">
        <f>+(Vin-'Power Loss'!$B$81)*('Power Loss'!$B$93*0.001+'Power Loss'!$B$94*0.001*('Efficiency Summary'!B54/(Fs*1000))^2)</f>
        <v>0.1376</v>
      </c>
    </row>
    <row r="24" spans="1:9" s="28" customFormat="1" ht="12.9" customHeight="1">
      <c r="A24" s="46">
        <f>Imin+(Imax-Imin)*0.15</f>
        <v>0.52585000000000004</v>
      </c>
      <c r="B24" s="47">
        <f t="shared" si="0"/>
        <v>0.66053368967110959</v>
      </c>
      <c r="C24" s="48">
        <f t="shared" ref="C24:C40" si="3">Vout*A24/(Vout*A24+B24)*100</f>
        <v>79.921668049331686</v>
      </c>
      <c r="D24" s="49">
        <f>F55^2*Ron_u/'Power Loss'!$B$56/1000+Vin*(A24-0.5*E55)*'Power Loss'!$B$54*10^(-9)*B55/2+Vin*(A24+0.5*E55)*'Power Loss'!$B$55*10^(-9)*B55/2+Vin*B55*'Power Loss'!$B$50*10^(-9)*'Power Loss'!$B$56+0.5*'Power Loss'!$B$53*10^(-9)*Vin^2*B55*'Power Loss'!$B$56</f>
        <v>0.19079119730681163</v>
      </c>
      <c r="E24" s="49">
        <f>C55*'Power Loss'!$B$66*(1-(Vout + (C55*((DCR+Ron_l)/1000)))/(Vin+(C55*((Ron_l-Ron_u)/1000))))+'Power Loss'!$B$70*10^(-9)*'Power Loss'!$B$73*Vin^2*B55/2</f>
        <v>0.29037554870000837</v>
      </c>
      <c r="F24" s="49">
        <f>B55/1000*'Power Loss'!$B$81*'Power Loss'!$B$51*10^(-6)*'Power Loss'!$B$56+B55/1000*'Power Loss'!$B$82*'Power Loss'!$B$68*10^(-6)*'Power Loss'!$B$73</f>
        <v>1.5E-3</v>
      </c>
      <c r="G24" s="49">
        <f t="shared" si="2"/>
        <v>4.0227432334792451E-2</v>
      </c>
      <c r="H24" s="49">
        <f>(0.5*E55/SQRT(3))^2*'Power Loss'!$B$33/'Power Loss'!$B$31/1000</f>
        <v>3.9511329497221074E-5</v>
      </c>
      <c r="I24" s="50">
        <f>+(Vin-'Power Loss'!$B$81)*('Power Loss'!$B$93*0.001+'Power Loss'!$B$94*0.001*('Efficiency Summary'!B55/(Fs*1000))^2)</f>
        <v>0.1376</v>
      </c>
    </row>
    <row r="25" spans="1:9" s="28" customFormat="1" ht="12.9" customHeight="1">
      <c r="A25" s="46">
        <f>Imin+(Imax-Imin)*0.2</f>
        <v>0.70080000000000009</v>
      </c>
      <c r="B25" s="47">
        <f t="shared" si="0"/>
        <v>0.80317927658062604</v>
      </c>
      <c r="C25" s="48">
        <f t="shared" si="3"/>
        <v>81.352545947001957</v>
      </c>
      <c r="D25" s="49">
        <f>F56^2*Ron_u/'Power Loss'!$B$56/1000+Vin*(A25-0.5*E56)*'Power Loss'!$B$54*10^(-9)*B56/2+Vin*(A25+0.5*E56)*'Power Loss'!$B$55*10^(-9)*B56/2+Vin*B56*'Power Loss'!$B$50*10^(-9)*'Power Loss'!$B$56+0.5*'Power Loss'!$B$53*10^(-9)*Vin^2*B56*'Power Loss'!$B$56</f>
        <v>0.23382780002252621</v>
      </c>
      <c r="E25" s="49">
        <f>C56*'Power Loss'!$B$66*(1-(Vout + (C56*((DCR+Ron_l)/1000)))/(Vin+(C56*((Ron_l-Ron_u)/1000))))+'Power Loss'!$B$70*10^(-9)*'Power Loss'!$B$73*Vin^2*B56/2</f>
        <v>0.36838190560810774</v>
      </c>
      <c r="F25" s="49">
        <f>B56/1000*'Power Loss'!$B$81*'Power Loss'!$B$51*10^(-6)*'Power Loss'!$B$56+B56/1000*'Power Loss'!$B$82*'Power Loss'!$B$68*10^(-6)*'Power Loss'!$B$73</f>
        <v>1.5E-3</v>
      </c>
      <c r="G25" s="49">
        <f t="shared" si="2"/>
        <v>6.1829622999493648E-2</v>
      </c>
      <c r="H25" s="49">
        <f>(0.5*E56/SQRT(3))^2*'Power Loss'!$B$33/'Power Loss'!$B$31/1000</f>
        <v>3.994795049842737E-5</v>
      </c>
      <c r="I25" s="50">
        <f>+(Vin-'Power Loss'!$B$81)*('Power Loss'!$B$93*0.001+'Power Loss'!$B$94*0.001*('Efficiency Summary'!B56/(Fs*1000))^2)</f>
        <v>0.1376</v>
      </c>
    </row>
    <row r="26" spans="1:9" s="28" customFormat="1" ht="12.9" customHeight="1">
      <c r="A26" s="46">
        <f>Imin+(Imax-Imin)*0.25</f>
        <v>0.87575000000000003</v>
      </c>
      <c r="B26" s="47">
        <f t="shared" si="0"/>
        <v>0.95562472663223197</v>
      </c>
      <c r="C26" s="48">
        <f t="shared" si="3"/>
        <v>82.085534376480723</v>
      </c>
      <c r="D26" s="49">
        <f>F57^2*Ron_u/'Power Loss'!$B$56/1000+Vin*(A26-0.5*E57)*'Power Loss'!$B$54*10^(-9)*B57/2+Vin*(A26+0.5*E57)*'Power Loss'!$B$55*10^(-9)*B57/2+Vin*B57*'Power Loss'!$B$50*10^(-9)*'Power Loss'!$B$56+0.5*'Power Loss'!$B$53*10^(-9)*Vin^2*B57*'Power Loss'!$B$56</f>
        <v>0.28064449623197008</v>
      </c>
      <c r="E26" s="49">
        <f>C57*'Power Loss'!$B$66*(1-(Vout + (C57*((DCR+Ron_l)/1000)))/(Vin+(C57*((Ron_l-Ron_u)/1000))))+'Power Loss'!$B$70*10^(-9)*'Power Loss'!$B$73*Vin^2*B57/2</f>
        <v>0.44628512498265677</v>
      </c>
      <c r="F26" s="49">
        <f>B57/1000*'Power Loss'!$B$81*'Power Loss'!$B$51*10^(-6)*'Power Loss'!$B$56+B57/1000*'Power Loss'!$B$82*'Power Loss'!$B$68*10^(-6)*'Power Loss'!$B$73</f>
        <v>1.5E-3</v>
      </c>
      <c r="G26" s="49">
        <f t="shared" si="2"/>
        <v>8.955471664672586E-2</v>
      </c>
      <c r="H26" s="49">
        <f>(0.5*E57/SQRT(3))^2*'Power Loss'!$B$33/'Power Loss'!$B$31/1000</f>
        <v>4.0388770879402752E-5</v>
      </c>
      <c r="I26" s="50">
        <f>+(Vin-'Power Loss'!$B$81)*('Power Loss'!$B$93*0.001+'Power Loss'!$B$94*0.001*('Efficiency Summary'!B57/(Fs*1000))^2)</f>
        <v>0.1376</v>
      </c>
    </row>
    <row r="27" spans="1:9" s="28" customFormat="1" ht="12.9" customHeight="1">
      <c r="A27" s="46">
        <f>Imin+(Imax-Imin)*0.3</f>
        <v>1.0507</v>
      </c>
      <c r="B27" s="47">
        <f t="shared" si="0"/>
        <v>1.1179302822229806</v>
      </c>
      <c r="C27" s="48">
        <f t="shared" si="3"/>
        <v>82.454013734684764</v>
      </c>
      <c r="D27" s="49">
        <f>F58^2*Ron_u/'Power Loss'!$B$56/1000+Vin*(A27-0.5*E58)*'Power Loss'!$B$54*10^(-9)*B58/2+Vin*(A27+0.5*E58)*'Power Loss'!$B$55*10^(-9)*B58/2+Vin*B58*'Power Loss'!$B$50*10^(-9)*'Power Loss'!$B$56+0.5*'Power Loss'!$B$53*10^(-9)*Vin^2*B58*'Power Loss'!$B$56</f>
        <v>0.33130214827172139</v>
      </c>
      <c r="E27" s="49">
        <f>C58*'Power Loss'!$B$66*(1-(Vout + (C58*((DCR+Ron_l)/1000)))/(Vin+(C58*((Ron_l-Ron_u)/1000))))+'Power Loss'!$B$70*10^(-9)*'Power Loss'!$B$73*Vin^2*B58/2</f>
        <v>0.52408457290081467</v>
      </c>
      <c r="F27" s="49">
        <f>B58/1000*'Power Loss'!$B$81*'Power Loss'!$B$51*10^(-6)*'Power Loss'!$B$56+B58/1000*'Power Loss'!$B$82*'Power Loss'!$B$68*10^(-6)*'Power Loss'!$B$73</f>
        <v>1.5E-3</v>
      </c>
      <c r="G27" s="49">
        <f t="shared" si="2"/>
        <v>0.12340272721912598</v>
      </c>
      <c r="H27" s="49">
        <f>(0.5*E58/SQRT(3))^2*'Power Loss'!$B$33/'Power Loss'!$B$31/1000</f>
        <v>4.0833831318571836E-5</v>
      </c>
      <c r="I27" s="50">
        <f>+(Vin-'Power Loss'!$B$81)*('Power Loss'!$B$93*0.001+'Power Loss'!$B$94*0.001*('Efficiency Summary'!B58/(Fs*1000))^2)</f>
        <v>0.1376</v>
      </c>
    </row>
    <row r="28" spans="1:9" s="28" customFormat="1" ht="12.9" customHeight="1">
      <c r="A28" s="46">
        <f>Imin+(Imax-Imin)*0.35</f>
        <v>1.2256499999999999</v>
      </c>
      <c r="B28" s="47">
        <f t="shared" si="0"/>
        <v>1.2901566805462172</v>
      </c>
      <c r="C28" s="48">
        <f t="shared" si="3"/>
        <v>82.608709172961881</v>
      </c>
      <c r="D28" s="49">
        <f>F59^2*Ron_u/'Power Loss'!$B$56/1000+Vin*(A28-0.5*E59)*'Power Loss'!$B$54*10^(-9)*B59/2+Vin*(A28+0.5*E59)*'Power Loss'!$B$55*10^(-9)*B59/2+Vin*B59*'Power Loss'!$B$50*10^(-9)*'Power Loss'!$B$56+0.5*'Power Loss'!$B$53*10^(-9)*Vin^2*B59*'Power Loss'!$B$56</f>
        <v>0.38586211832059597</v>
      </c>
      <c r="E28" s="49">
        <f>C59*'Power Loss'!$B$66*(1-(Vout + (C59*((DCR+Ron_l)/1000)))/(Vin+(C59*((Ron_l-Ron_u)/1000))))+'Power Loss'!$B$70*10^(-9)*'Power Loss'!$B$73*Vin^2*B59/2</f>
        <v>0.60177961023396453</v>
      </c>
      <c r="F28" s="49">
        <f>B59/1000*'Power Loss'!$B$81*'Power Loss'!$B$51*10^(-6)*'Power Loss'!$B$56+B59/1000*'Power Loss'!$B$82*'Power Loss'!$B$68*10^(-6)*'Power Loss'!$B$73</f>
        <v>1.5E-3</v>
      </c>
      <c r="G28" s="49">
        <f t="shared" si="2"/>
        <v>0.16337366881870613</v>
      </c>
      <c r="H28" s="49">
        <f>(0.5*E59/SQRT(3))^2*'Power Loss'!$B$33/'Power Loss'!$B$31/1000</f>
        <v>4.1283172950752486E-5</v>
      </c>
      <c r="I28" s="50">
        <f>+(Vin-'Power Loss'!$B$81)*('Power Loss'!$B$93*0.001+'Power Loss'!$B$94*0.001*('Efficiency Summary'!B59/(Fs*1000))^2)</f>
        <v>0.1376</v>
      </c>
    </row>
    <row r="29" spans="1:9" s="28" customFormat="1" ht="12.9" customHeight="1">
      <c r="A29" s="46">
        <f>Imin+(Imax-Imin)*0.4</f>
        <v>1.4006000000000001</v>
      </c>
      <c r="B29" s="47">
        <f t="shared" si="0"/>
        <v>1.4723651586821431</v>
      </c>
      <c r="C29" s="48">
        <f t="shared" si="3"/>
        <v>82.627708292027322</v>
      </c>
      <c r="D29" s="49">
        <f>F60^2*Ron_u/'Power Loss'!$B$56/1000+Vin*(A29-0.5*E60)*'Power Loss'!$B$54*10^(-9)*B60/2+Vin*(A29+0.5*E60)*'Power Loss'!$B$55*10^(-9)*B60/2+Vin*B60*'Power Loss'!$B$50*10^(-9)*'Power Loss'!$B$56+0.5*'Power Loss'!$B$53*10^(-9)*Vin^2*B60*'Power Loss'!$B$56</f>
        <v>0.44438627354163779</v>
      </c>
      <c r="E29" s="49">
        <f>C60*'Power Loss'!$B$66*(1-(Vout + (C60*((DCR+Ron_l)/1000)))/(Vin+(C60*((Ron_l-Ron_u)/1000))))+'Power Loss'!$B$70*10^(-9)*'Power Loss'!$B$73*Vin^2*B60/2</f>
        <v>0.67936959259416607</v>
      </c>
      <c r="F29" s="49">
        <f>B60/1000*'Power Loss'!$B$81*'Power Loss'!$B$51*10^(-6)*'Power Loss'!$B$56+B60/1000*'Power Loss'!$B$82*'Power Loss'!$B$68*10^(-6)*'Power Loss'!$B$73</f>
        <v>1.5E-3</v>
      </c>
      <c r="G29" s="49">
        <f t="shared" si="2"/>
        <v>0.20946755570896633</v>
      </c>
      <c r="H29" s="49">
        <f>(0.5*E60/SQRT(3))^2*'Power Loss'!$B$33/'Power Loss'!$B$31/1000</f>
        <v>4.1736837373111404E-5</v>
      </c>
      <c r="I29" s="50">
        <f>+(Vin-'Power Loss'!$B$81)*('Power Loss'!$B$93*0.001+'Power Loss'!$B$94*0.001*('Efficiency Summary'!B60/(Fs*1000))^2)</f>
        <v>0.1376</v>
      </c>
    </row>
    <row r="30" spans="1:9" s="28" customFormat="1" ht="12.9" customHeight="1">
      <c r="A30" s="46">
        <f>Imin+(Imax-Imin)*0.45</f>
        <v>1.57555</v>
      </c>
      <c r="B30" s="47">
        <f t="shared" si="0"/>
        <v>1.6646174587513538</v>
      </c>
      <c r="C30" s="48">
        <f t="shared" si="3"/>
        <v>82.555508725198749</v>
      </c>
      <c r="D30" s="49">
        <f>F61^2*Ron_u/'Power Loss'!$B$56/1000+Vin*(A30-0.5*E61)*'Power Loss'!$B$54*10^(-9)*B61/2+Vin*(A30+0.5*E61)*'Power Loss'!$B$55*10^(-9)*B61/2+Vin*B61*'Power Loss'!$B$50*10^(-9)*'Power Loss'!$B$56+0.5*'Power Loss'!$B$53*10^(-9)*Vin^2*B61*'Power Loss'!$B$56</f>
        <v>0.50693699128771874</v>
      </c>
      <c r="E30" s="49">
        <f>C61*'Power Loss'!$B$66*(1-(Vout + (C61*((DCR+Ron_l)/1000)))/(Vin+(C61*((Ron_l-Ron_u)/1000))))+'Power Loss'!$B$70*10^(-9)*'Power Loss'!$B$73*Vin^2*B61/2</f>
        <v>0.75685387027994566</v>
      </c>
      <c r="F30" s="49">
        <f>B61/1000*'Power Loss'!$B$81*'Power Loss'!$B$51*10^(-6)*'Power Loss'!$B$56+B61/1000*'Power Loss'!$B$82*'Power Loss'!$B$68*10^(-6)*'Power Loss'!$B$73</f>
        <v>1.5E-3</v>
      </c>
      <c r="G30" s="49">
        <f t="shared" si="2"/>
        <v>0.26168440231703827</v>
      </c>
      <c r="H30" s="49">
        <f>(0.5*E61/SQRT(3))^2*'Power Loss'!$B$33/'Power Loss'!$B$31/1000</f>
        <v>4.2194866651209059E-5</v>
      </c>
      <c r="I30" s="50">
        <f>+(Vin-'Power Loss'!$B$81)*('Power Loss'!$B$93*0.001+'Power Loss'!$B$94*0.001*('Efficiency Summary'!B61/(Fs*1000))^2)</f>
        <v>0.1376</v>
      </c>
    </row>
    <row r="31" spans="1:9" s="28" customFormat="1" ht="12.9" customHeight="1">
      <c r="A31" s="46">
        <f>Imin+(Imax-Imin)*0.5</f>
        <v>1.7504999999999999</v>
      </c>
      <c r="B31" s="47">
        <f t="shared" si="0"/>
        <v>1.8669758331322708</v>
      </c>
      <c r="C31" s="48">
        <f t="shared" si="3"/>
        <v>82.419322173064387</v>
      </c>
      <c r="D31" s="49">
        <f>F62^2*Ron_u/'Power Loss'!$B$56/1000+Vin*(A31-0.5*E62)*'Power Loss'!$B$54*10^(-9)*B62/2+Vin*(A31+0.5*E62)*'Power Loss'!$B$55*10^(-9)*B62/2+Vin*B62*'Power Loss'!$B$50*10^(-9)*'Power Loss'!$B$56+0.5*'Power Loss'!$B$53*10^(-9)*Vin^2*B62*'Power Loss'!$B$56</f>
        <v>0.57357716437166639</v>
      </c>
      <c r="E31" s="49">
        <f>C62*'Power Loss'!$B$66*(1-(Vout + (C62*((DCR+Ron_l)/1000)))/(Vin+(C62*((Ron_l-Ron_u)/1000))))+'Power Loss'!$B$70*10^(-9)*'Power Loss'!$B$73*Vin^2*B62/2</f>
        <v>0.83423178822141597</v>
      </c>
      <c r="F31" s="49">
        <f>B62/1000*'Power Loss'!$B$81*'Power Loss'!$B$51*10^(-6)*'Power Loss'!$B$56+B62/1000*'Power Loss'!$B$82*'Power Loss'!$B$68*10^(-6)*'Power Loss'!$B$73</f>
        <v>1.5E-3</v>
      </c>
      <c r="G31" s="49">
        <f t="shared" si="2"/>
        <v>0.32002422323586316</v>
      </c>
      <c r="H31" s="49">
        <f>(0.5*E62/SQRT(3))^2*'Power Loss'!$B$33/'Power Loss'!$B$31/1000</f>
        <v>4.265730332513518E-5</v>
      </c>
      <c r="I31" s="50">
        <f>+(Vin-'Power Loss'!$B$81)*('Power Loss'!$B$93*0.001+'Power Loss'!$B$94*0.001*('Efficiency Summary'!B62/(Fs*1000))^2)</f>
        <v>0.1376</v>
      </c>
    </row>
    <row r="32" spans="1:9" s="28" customFormat="1" ht="12.9" customHeight="1">
      <c r="A32" s="46">
        <f>Imin+(Imax-Imin)*0.55</f>
        <v>1.9254500000000001</v>
      </c>
      <c r="B32" s="47">
        <f t="shared" si="0"/>
        <v>2.0795030497433844</v>
      </c>
      <c r="C32" s="48">
        <f t="shared" si="3"/>
        <v>82.236722335327926</v>
      </c>
      <c r="D32" s="49">
        <f>F63^2*Ron_u/'Power Loss'!$B$56/1000+Vin*(A32-0.5*E63)*'Power Loss'!$B$54*10^(-9)*B63/2+Vin*(A32+0.5*E63)*'Power Loss'!$B$55*10^(-9)*B63/2+Vin*B63*'Power Loss'!$B$50*10^(-9)*'Power Loss'!$B$56+0.5*'Power Loss'!$B$53*10^(-9)*Vin^2*B63*'Power Loss'!$B$56</f>
        <v>0.64437020640185572</v>
      </c>
      <c r="E32" s="49">
        <f>C63*'Power Loss'!$B$66*(1-(Vout + (C63*((DCR+Ron_l)/1000)))/(Vin+(C63*((Ron_l-Ron_u)/1000))))+'Power Loss'!$B$70*10^(-9)*'Power Loss'!$B$73*Vin^2*B63/2</f>
        <v>0.91150268592471162</v>
      </c>
      <c r="F32" s="49">
        <f>B63/1000*'Power Loss'!$B$81*'Power Loss'!$B$51*10^(-6)*'Power Loss'!$B$56+B63/1000*'Power Loss'!$B$82*'Power Loss'!$B$68*10^(-6)*'Power Loss'!$B$73</f>
        <v>1.5E-3</v>
      </c>
      <c r="G32" s="49">
        <f t="shared" si="2"/>
        <v>0.38448703322640149</v>
      </c>
      <c r="H32" s="49">
        <f>(0.5*E63/SQRT(3))^2*'Power Loss'!$B$33/'Power Loss'!$B$31/1000</f>
        <v>4.312419041573681E-5</v>
      </c>
      <c r="I32" s="50">
        <f>+(Vin-'Power Loss'!$B$81)*('Power Loss'!$B$93*0.001+'Power Loss'!$B$94*0.001*('Efficiency Summary'!B63/(Fs*1000))^2)</f>
        <v>0.1376</v>
      </c>
    </row>
    <row r="33" spans="1:9" s="28" customFormat="1" ht="12.9" customHeight="1">
      <c r="A33" s="46">
        <f>Imin+(Imax-Imin)*0.6</f>
        <v>2.1004</v>
      </c>
      <c r="B33" s="47">
        <f t="shared" si="0"/>
        <v>2.3022623973912588</v>
      </c>
      <c r="C33" s="48">
        <f t="shared" si="3"/>
        <v>82.019562502402948</v>
      </c>
      <c r="D33" s="49">
        <f>F64^2*Ron_u/'Power Loss'!$B$56/1000+Vin*(A33-0.5*E64)*'Power Loss'!$B$54*10^(-9)*B64/2+Vin*(A33+0.5*E64)*'Power Loss'!$B$55*10^(-9)*B64/2+Vin*B64*'Power Loss'!$B$50*10^(-9)*'Power Loss'!$B$56+0.5*'Power Loss'!$B$53*10^(-9)*Vin^2*B64*'Power Loss'!$B$56</f>
        <v>0.71938005718421549</v>
      </c>
      <c r="E33" s="49">
        <f>C64*'Power Loss'!$B$66*(1-(Vout + (C64*((DCR+Ron_l)/1000)))/(Vin+(C64*((Ron_l-Ron_u)/1000))))+'Power Loss'!$B$70*10^(-9)*'Power Loss'!$B$73*Vin^2*B64/2</f>
        <v>0.98866589741573541</v>
      </c>
      <c r="F33" s="49">
        <f>B64/1000*'Power Loss'!$B$81*'Power Loss'!$B$51*10^(-6)*'Power Loss'!$B$56+B64/1000*'Power Loss'!$B$82*'Power Loss'!$B$68*10^(-6)*'Power Loss'!$B$73</f>
        <v>1.5E-3</v>
      </c>
      <c r="G33" s="49">
        <f t="shared" si="2"/>
        <v>0.4550728472198769</v>
      </c>
      <c r="H33" s="49">
        <f>(0.5*E64/SQRT(3))^2*'Power Loss'!$B$33/'Power Loss'!$B$31/1000</f>
        <v>4.3595571430940277E-5</v>
      </c>
      <c r="I33" s="50">
        <f>+(Vin-'Power Loss'!$B$81)*('Power Loss'!$B$93*0.001+'Power Loss'!$B$94*0.001*('Efficiency Summary'!B64/(Fs*1000))^2)</f>
        <v>0.1376</v>
      </c>
    </row>
    <row r="34" spans="1:9" s="28" customFormat="1" ht="12.9" customHeight="1">
      <c r="A34" s="46">
        <f>Imin+(Imax-Imin)*0.65</f>
        <v>2.27535</v>
      </c>
      <c r="B34" s="47">
        <f t="shared" si="0"/>
        <v>2.5353176911852455</v>
      </c>
      <c r="C34" s="48">
        <f t="shared" si="3"/>
        <v>81.776125968739819</v>
      </c>
      <c r="D34" s="49">
        <f>F65^2*Ron_u/'Power Loss'!$B$56/1000+Vin*(A34-0.5*E65)*'Power Loss'!$B$54*10^(-9)*B65/2+Vin*(A34+0.5*E65)*'Power Loss'!$B$55*10^(-9)*B65/2+Vin*B65*'Power Loss'!$B$50*10^(-9)*'Power Loss'!$B$56+0.5*'Power Loss'!$B$53*10^(-9)*Vin^2*B65*'Power Loss'!$B$56</f>
        <v>0.7986711881916162</v>
      </c>
      <c r="E34" s="49">
        <f>C65*'Power Loss'!$B$66*(1-(Vout + (C65*((DCR+Ron_l)/1000)))/(Vin+(C65*((Ron_l-Ron_u)/1000))))+'Power Loss'!$B$70*10^(-9)*'Power Loss'!$B$73*Vin^2*B65/2</f>
        <v>1.0657207511832021</v>
      </c>
      <c r="F34" s="49">
        <f>B65/1000*'Power Loss'!$B$81*'Power Loss'!$B$51*10^(-6)*'Power Loss'!$B$56+B65/1000*'Power Loss'!$B$82*'Power Loss'!$B$68*10^(-6)*'Power Loss'!$B$73</f>
        <v>1.5E-3</v>
      </c>
      <c r="G34" s="49">
        <f t="shared" si="2"/>
        <v>0.53178168032005491</v>
      </c>
      <c r="H34" s="49">
        <f>(0.5*E65/SQRT(3))^2*'Power Loss'!$B$33/'Power Loss'!$B$31/1000</f>
        <v>4.4071490372168482E-5</v>
      </c>
      <c r="I34" s="50">
        <f>+(Vin-'Power Loss'!$B$81)*('Power Loss'!$B$93*0.001+'Power Loss'!$B$94*0.001*('Efficiency Summary'!B65/(Fs*1000))^2)</f>
        <v>0.1376</v>
      </c>
    </row>
    <row r="35" spans="1:9" s="28" customFormat="1" ht="12.9" customHeight="1">
      <c r="A35" s="46">
        <f>Imin+(Imax-Imin)*0.7</f>
        <v>2.4502999999999999</v>
      </c>
      <c r="B35" s="47">
        <f t="shared" si="0"/>
        <v>2.7787332780198883</v>
      </c>
      <c r="C35" s="48">
        <f t="shared" si="3"/>
        <v>81.512374248485614</v>
      </c>
      <c r="D35" s="49">
        <f>F66^2*Ron_u/'Power Loss'!$B$56/1000+Vin*(A35-0.5*E66)*'Power Loss'!$B$54*10^(-9)*B66/2+Vin*(A35+0.5*E66)*'Power Loss'!$B$55*10^(-9)*B66/2+Vin*B66*'Power Loss'!$B$50*10^(-9)*'Power Loss'!$B$56+0.5*'Power Loss'!$B$53*10^(-9)*Vin^2*B66*'Power Loss'!$B$56</f>
        <v>0.88230860810162159</v>
      </c>
      <c r="E35" s="49">
        <f>C66*'Power Loss'!$B$66*(1-(Vout + (C66*((DCR+Ron_l)/1000)))/(Vin+(C66*((Ron_l-Ron_u)/1000))))+'Power Loss'!$B$70*10^(-9)*'Power Loss'!$B$73*Vin^2*B66/2</f>
        <v>1.1426665701209697</v>
      </c>
      <c r="F35" s="49">
        <f>B66/1000*'Power Loss'!$B$81*'Power Loss'!$B$51*10^(-6)*'Power Loss'!$B$56+B66/1000*'Power Loss'!$B$82*'Power Loss'!$B$68*10^(-6)*'Power Loss'!$B$73</f>
        <v>1.5E-3</v>
      </c>
      <c r="G35" s="49">
        <f t="shared" si="2"/>
        <v>0.6146135478055561</v>
      </c>
      <c r="H35" s="49">
        <f>(0.5*E66/SQRT(3))^2*'Power Loss'!$B$33/'Power Loss'!$B$31/1000</f>
        <v>4.4551991740855746E-5</v>
      </c>
      <c r="I35" s="50">
        <f>+(Vin-'Power Loss'!$B$81)*('Power Loss'!$B$93*0.001+'Power Loss'!$B$94*0.001*('Efficiency Summary'!B66/(Fs*1000))^2)</f>
        <v>0.1376</v>
      </c>
    </row>
    <row r="36" spans="1:9" s="28" customFormat="1" ht="12.9" customHeight="1">
      <c r="A36" s="46">
        <f>Imin+(Imax-Imin)*0.75</f>
        <v>2.6252499999999999</v>
      </c>
      <c r="B36" s="47">
        <f t="shared" si="0"/>
        <v>3.0325740421260003</v>
      </c>
      <c r="C36" s="48">
        <f t="shared" si="3"/>
        <v>81.232705831686204</v>
      </c>
      <c r="D36" s="49">
        <f>F67^2*Ron_u/'Power Loss'!$B$56/1000+Vin*(A36-0.5*E67)*'Power Loss'!$B$54*10^(-9)*B67/2+Vin*(A36+0.5*E67)*'Power Loss'!$B$55*10^(-9)*B67/2+Vin*B67*'Power Loss'!$B$50*10^(-9)*'Power Loss'!$B$56+0.5*'Power Loss'!$B$53*10^(-9)*Vin^2*B67*'Power Loss'!$B$56</f>
        <v>0.97035786840360028</v>
      </c>
      <c r="E36" s="49">
        <f>C67*'Power Loss'!$B$66*(1-(Vout + (C67*((DCR+Ron_l)/1000)))/(Vin+(C67*((Ron_l-Ron_u)/1000))))+'Power Loss'!$B$70*10^(-9)*'Power Loss'!$B$73*Vin^2*B67/2</f>
        <v>1.21950267146965</v>
      </c>
      <c r="F36" s="49">
        <f>B67/1000*'Power Loss'!$B$81*'Power Loss'!$B$51*10^(-6)*'Power Loss'!$B$56+B67/1000*'Power Loss'!$B$82*'Power Loss'!$B$68*10^(-6)*'Power Loss'!$B$73</f>
        <v>1.5E-3</v>
      </c>
      <c r="G36" s="49">
        <f t="shared" si="2"/>
        <v>0.70356846513220506</v>
      </c>
      <c r="H36" s="49">
        <f>(0.5*E67/SQRT(3))^2*'Power Loss'!$B$33/'Power Loss'!$B$31/1000</f>
        <v>4.5037120545061112E-5</v>
      </c>
      <c r="I36" s="50">
        <f>+(Vin-'Power Loss'!$B$81)*('Power Loss'!$B$93*0.001+'Power Loss'!$B$94*0.001*('Efficiency Summary'!B67/(Fs*1000))^2)</f>
        <v>0.1376</v>
      </c>
    </row>
    <row r="37" spans="1:9" s="28" customFormat="1" ht="12.9" customHeight="1">
      <c r="A37" s="46">
        <f>Imin+(Imax-Imin)*0.8</f>
        <v>2.8002000000000002</v>
      </c>
      <c r="B37" s="47">
        <f t="shared" si="0"/>
        <v>3.2969054106914268</v>
      </c>
      <c r="C37" s="48">
        <f t="shared" si="3"/>
        <v>80.940435663073487</v>
      </c>
      <c r="D37" s="49">
        <f>F68^2*Ron_u/'Power Loss'!$B$56/1000+Vin*(A37-0.5*E68)*'Power Loss'!$B$54*10^(-9)*B68/2+Vin*(A37+0.5*E68)*'Power Loss'!$B$55*10^(-9)*B68/2+Vin*B68*'Power Loss'!$B$50*10^(-9)*'Power Loss'!$B$56+0.5*'Power Loss'!$B$53*10^(-9)*Vin^2*B68*'Power Loss'!$B$56</f>
        <v>1.0628850690762199</v>
      </c>
      <c r="E37" s="49">
        <f>C68*'Power Loss'!$B$66*(1-(Vout + (C68*((DCR+Ron_l)/1000)))/(Vin+(C68*((Ron_l-Ron_u)/1000))))+'Power Loss'!$B$70*10^(-9)*'Power Loss'!$B$73*Vin^2*B68/2</f>
        <v>1.2962283667574859</v>
      </c>
      <c r="F37" s="49">
        <f>B68/1000*'Power Loss'!$B$81*'Power Loss'!$B$51*10^(-6)*'Power Loss'!$B$56+B68/1000*'Power Loss'!$B$82*'Power Loss'!$B$68*10^(-6)*'Power Loss'!$B$73</f>
        <v>1.5E-3</v>
      </c>
      <c r="G37" s="49">
        <f t="shared" si="2"/>
        <v>0.79864644793541473</v>
      </c>
      <c r="H37" s="49">
        <f>(0.5*E68/SQRT(3))^2*'Power Loss'!$B$33/'Power Loss'!$B$31/1000</f>
        <v>4.5526922306182481E-5</v>
      </c>
      <c r="I37" s="50">
        <f>+(Vin-'Power Loss'!$B$81)*('Power Loss'!$B$93*0.001+'Power Loss'!$B$94*0.001*('Efficiency Summary'!B68/(Fs*1000))^2)</f>
        <v>0.1376</v>
      </c>
    </row>
    <row r="38" spans="1:9" s="28" customFormat="1" ht="12.9" customHeight="1">
      <c r="A38" s="46">
        <f>Imin+(Imax-Imin)*0.85</f>
        <v>2.9751499999999997</v>
      </c>
      <c r="B38" s="47">
        <f t="shared" si="0"/>
        <v>3.5717933595525073</v>
      </c>
      <c r="C38" s="48">
        <f t="shared" si="3"/>
        <v>80.638108338132938</v>
      </c>
      <c r="D38" s="49">
        <f>F69^2*Ron_u/'Power Loss'!$B$56/1000+Vin*(A38-0.5*E69)*'Power Loss'!$B$54*10^(-9)*B69/2+Vin*(A38+0.5*E69)*'Power Loss'!$B$55*10^(-9)*B69/2+Vin*B69*'Power Loss'!$B$50*10^(-9)*'Power Loss'!$B$56+0.5*'Power Loss'!$B$53*10^(-9)*Vin^2*B69*'Power Loss'!$B$56</f>
        <v>1.1599568643363498</v>
      </c>
      <c r="E38" s="49">
        <f>C69*'Power Loss'!$B$66*(1-(Vout + (C69*((DCR+Ron_l)/1000)))/(Vin+(C69*((Ron_l-Ron_u)/1000))))+'Power Loss'!$B$70*10^(-9)*'Power Loss'!$B$73*Vin^2*B69/2</f>
        <v>1.3728429617404827</v>
      </c>
      <c r="F38" s="49">
        <f>B69/1000*'Power Loss'!$B$81*'Power Loss'!$B$51*10^(-6)*'Power Loss'!$B$56+B69/1000*'Power Loss'!$B$82*'Power Loss'!$B$68*10^(-6)*'Power Loss'!$B$73</f>
        <v>1.5E-3</v>
      </c>
      <c r="G38" s="49">
        <f t="shared" si="2"/>
        <v>0.89984751203260893</v>
      </c>
      <c r="H38" s="49">
        <f>(0.5*E69/SQRT(3))^2*'Power Loss'!$B$33/'Power Loss'!$B$31/1000</f>
        <v>4.6021443065772959E-5</v>
      </c>
      <c r="I38" s="50">
        <f>+(Vin-'Power Loss'!$B$81)*('Power Loss'!$B$93*0.001+'Power Loss'!$B$94*0.001*('Efficiency Summary'!B69/(Fs*1000))^2)</f>
        <v>0.1376</v>
      </c>
    </row>
    <row r="39" spans="1:9" s="28" customFormat="1" ht="12.9" customHeight="1">
      <c r="A39" s="46">
        <f>Imin+(Imax-Imin)*0.9</f>
        <v>3.1501000000000001</v>
      </c>
      <c r="B39" s="47">
        <f t="shared" si="0"/>
        <v>3.857304418957292</v>
      </c>
      <c r="C39" s="48">
        <f t="shared" si="3"/>
        <v>80.32770861775856</v>
      </c>
      <c r="D39" s="49">
        <f>F70^2*Ron_u/'Power Loss'!$B$56/1000+Vin*(A39-0.5*E70)*'Power Loss'!$B$54*10^(-9)*B70/2+Vin*(A39+0.5*E70)*'Power Loss'!$B$55*10^(-9)*B70/2+Vin*B70*'Power Loss'!$B$50*10^(-9)*'Power Loss'!$B$56+0.5*'Power Loss'!$B$53*10^(-9)*Vin^2*B70*'Power Loss'!$B$56</f>
        <v>1.2616404684604268</v>
      </c>
      <c r="E39" s="49">
        <f>C70*'Power Loss'!$B$66*(1-(Vout + (C70*((DCR+Ron_l)/1000)))/(Vin+(C70*((Ron_l-Ron_u)/1000))))+'Power Loss'!$B$70*10^(-9)*'Power Loss'!$B$73*Vin^2*B70/2</f>
        <v>1.4493457563417904</v>
      </c>
      <c r="F39" s="49">
        <f>B70/1000*'Power Loss'!$B$81*'Power Loss'!$B$51*10^(-6)*'Power Loss'!$B$56+B70/1000*'Power Loss'!$B$82*'Power Loss'!$B$68*10^(-6)*'Power Loss'!$B$73</f>
        <v>1.5E-3</v>
      </c>
      <c r="G39" s="49">
        <f t="shared" si="2"/>
        <v>1.0071716734256826</v>
      </c>
      <c r="H39" s="49">
        <f>(0.5*E70/SQRT(3))^2*'Power Loss'!$B$33/'Power Loss'!$B$31/1000</f>
        <v>4.6520729392460874E-5</v>
      </c>
      <c r="I39" s="50">
        <f>+(Vin-'Power Loss'!$B$81)*('Power Loss'!$B$93*0.001+'Power Loss'!$B$94*0.001*('Efficiency Summary'!B70/(Fs*1000))^2)</f>
        <v>0.1376</v>
      </c>
    </row>
    <row r="40" spans="1:9" s="28" customFormat="1" ht="12.9" customHeight="1">
      <c r="A40" s="46">
        <f>Imin+(Imax-Imin)</f>
        <v>3.5</v>
      </c>
      <c r="B40" s="47">
        <f t="shared" si="0"/>
        <v>4.460464797538644</v>
      </c>
      <c r="C40" s="48">
        <f t="shared" si="3"/>
        <v>79.688659422005585</v>
      </c>
      <c r="D40" s="49">
        <f>F71^2*Ron_u/'Power Loss'!$B$56/1000+Vin*(A40-0.5*E71)*'Power Loss'!$B$54*10^(-9)*B71/2+Vin*(A40+0.5*E71)*'Power Loss'!$B$55*10^(-9)*B71/2+Vin*B71*'Power Loss'!$B$50*10^(-9)*'Power Loss'!$B$56+0.5*'Power Loss'!$B$53*10^(-9)*Vin^2*B71*'Power Loss'!$B$56</f>
        <v>1.4791147961479749</v>
      </c>
      <c r="E40" s="49">
        <f>C71*'Power Loss'!$B$66*(1-(Vout + (C71*((DCR+Ron_l)/1000)))/(Vin+(C71*((Ron_l-Ron_u)/1000))))+'Power Loss'!$B$70*10^(-9)*'Power Loss'!$B$73*Vin^2*B71/2</f>
        <v>1.602013114558553</v>
      </c>
      <c r="F40" s="49">
        <f>B71/1000*'Power Loss'!$B$81*'Power Loss'!$B$51*10^(-6)*'Power Loss'!$B$56+B71/1000*'Power Loss'!$B$82*'Power Loss'!$B$68*10^(-6)*'Power Loss'!$B$73</f>
        <v>1.5E-3</v>
      </c>
      <c r="G40" s="49">
        <f t="shared" si="2"/>
        <v>1.2401893530444161</v>
      </c>
      <c r="H40" s="49">
        <f>(0.5*E71/SQRT(3))^2*'Power Loss'!$B$33/'Power Loss'!$B$31/1000</f>
        <v>4.7533787699285302E-5</v>
      </c>
      <c r="I40" s="50">
        <f>+(Vin-'Power Loss'!$B$81)*('Power Loss'!$B$93*0.001+'Power Loss'!$B$94*0.001*('Efficiency Summary'!B71/(Fs*1000))^2)</f>
        <v>0.1376</v>
      </c>
    </row>
    <row r="41" spans="1:9" s="28" customFormat="1" ht="12.9" customHeight="1"/>
    <row r="42" spans="1:9" s="28" customFormat="1" ht="12.9" customHeight="1"/>
    <row r="43" spans="1:9" s="28" customFormat="1" ht="12.9" customHeight="1">
      <c r="A43" s="28" t="s">
        <v>123</v>
      </c>
      <c r="B43" s="28" t="s">
        <v>124</v>
      </c>
      <c r="C43" s="28" t="s">
        <v>125</v>
      </c>
      <c r="D43" s="44" t="s">
        <v>126</v>
      </c>
      <c r="E43" s="44" t="s">
        <v>127</v>
      </c>
      <c r="F43" s="44" t="s">
        <v>128</v>
      </c>
      <c r="G43" s="44" t="s">
        <v>129</v>
      </c>
    </row>
    <row r="44" spans="1:9" s="28" customFormat="1" ht="12.9" customHeight="1">
      <c r="A44" s="51">
        <f>IF(A13&gt;$E$9, 0, 1/((Vin-Vout)*Vout/(2*Vin*Lout*0.000001*('Efficiency Summary'!$E$9-'Efficiency Summary'!A13))))</f>
        <v>3.3212775193798449E-6</v>
      </c>
      <c r="B44" s="51">
        <f>1/(1/(Fs*1000)+2*'Efficiency Summary'!A44)</f>
        <v>100241.69905483734</v>
      </c>
      <c r="C44" s="28">
        <f t="shared" ref="C44:C71" si="4">A13</f>
        <v>1E-3</v>
      </c>
      <c r="D44" s="28">
        <f t="shared" ref="D44:D54" si="5">Vout/Vin*(1+(Ron_l+DCR)/1000*A13/Vout)/(1-A13*(Ron_u-Ron_l)/1000/Vin)</f>
        <v>0.10416995507971512</v>
      </c>
      <c r="E44" s="28">
        <f t="shared" ref="E44:E71" si="6">(Vin-Vout)/Lout/10^(-6)*D44/Fs/10^3</f>
        <v>0.55300099610219133</v>
      </c>
      <c r="F44" s="28">
        <f t="shared" ref="F44:F71" si="7">A13*SQRT(D44)*SQRT(1+1/3*(E44/2/A13)^2)</f>
        <v>5.1524649922337344E-2</v>
      </c>
      <c r="G44" s="28">
        <f t="shared" ref="G44:G71" si="8">A13*SQRT(1-D44)*SQRT(1+1/3*(E44/2/A13)^2)</f>
        <v>0.15109727195159822</v>
      </c>
    </row>
    <row r="45" spans="1:9" s="28" customFormat="1" ht="12.9" customHeight="1">
      <c r="A45" s="51">
        <f>IF(A14&gt;$E$9, 0, 1/((Vin-Vout)*Vout/(2*Vin*Lout*0.000001*('Efficiency Summary'!$E$9-'Efficiency Summary'!A14))))</f>
        <v>3.2790942263565895E-6</v>
      </c>
      <c r="B45" s="51">
        <f>1/(1/(Fs*1000)+2*'Efficiency Summary'!A45)</f>
        <v>101096.67871435628</v>
      </c>
      <c r="C45" s="28">
        <f t="shared" si="4"/>
        <v>4.4990000000000004E-3</v>
      </c>
      <c r="D45" s="28">
        <f t="shared" si="5"/>
        <v>0.10418146183585499</v>
      </c>
      <c r="E45" s="28">
        <f t="shared" si="6"/>
        <v>0.55306208135083512</v>
      </c>
      <c r="F45" s="28">
        <f t="shared" si="7"/>
        <v>5.155263266296467E-2</v>
      </c>
      <c r="G45" s="28">
        <f t="shared" si="8"/>
        <v>0.15117001207975708</v>
      </c>
    </row>
    <row r="46" spans="1:9" s="28" customFormat="1" ht="12.9" customHeight="1">
      <c r="A46" s="51">
        <f>IF(A15&gt;$E$9, 0, 1/((Vin-Vout)*Vout/(2*Vin*Lout*0.000001*('Efficiency Summary'!$E$9-'Efficiency Summary'!A15))))</f>
        <v>3.2369109333333333E-6</v>
      </c>
      <c r="B46" s="51">
        <f>1/(1/(Fs*1000)+2*'Efficiency Summary'!A46)</f>
        <v>101966.36839192675</v>
      </c>
      <c r="C46" s="28">
        <f t="shared" si="4"/>
        <v>7.9980000000000016E-3</v>
      </c>
      <c r="D46" s="28">
        <f t="shared" si="5"/>
        <v>0.10419296952361813</v>
      </c>
      <c r="E46" s="28">
        <f t="shared" si="6"/>
        <v>0.55312317154513335</v>
      </c>
      <c r="F46" s="28">
        <f t="shared" si="7"/>
        <v>5.1605332060493898E-2</v>
      </c>
      <c r="G46" s="28">
        <f t="shared" si="8"/>
        <v>0.15131521607317538</v>
      </c>
    </row>
    <row r="47" spans="1:9" s="28" customFormat="1" ht="12.9" customHeight="1">
      <c r="A47" s="51">
        <f>IF(A16&gt;$E$9, 0, 1/((Vin-Vout)*Vout/(2*Vin*Lout*0.000001*('Efficiency Summary'!$E$9-'Efficiency Summary'!A16))))</f>
        <v>3.1525443472868218E-6</v>
      </c>
      <c r="B47" s="51">
        <f>1/(1/(Fs*1000)+2*'Efficiency Summary'!A47)</f>
        <v>103751.4229097472</v>
      </c>
      <c r="C47" s="28">
        <f t="shared" si="4"/>
        <v>1.4996000000000002E-2</v>
      </c>
      <c r="D47" s="28">
        <f t="shared" si="5"/>
        <v>0.10421598769446683</v>
      </c>
      <c r="E47" s="28">
        <f t="shared" si="6"/>
        <v>0.55324536677309555</v>
      </c>
      <c r="F47" s="28">
        <f t="shared" si="7"/>
        <v>5.1784576253003381E-2</v>
      </c>
      <c r="G47" s="28">
        <f t="shared" si="8"/>
        <v>0.15182206910159107</v>
      </c>
    </row>
    <row r="48" spans="1:9" s="28" customFormat="1" ht="12.9" customHeight="1">
      <c r="A48" s="51">
        <f>IF(A17&gt;$E$9, 0, 1/((Vin-Vout)*Vout/(2*Vin*Lout*0.000001*('Efficiency Summary'!$E$9-'Efficiency Summary'!A17))))</f>
        <v>3.0681777612403098E-6</v>
      </c>
      <c r="B48" s="51">
        <f>1/(1/(Fs*1000)+2*'Efficiency Summary'!A48)</f>
        <v>105600.09048090804</v>
      </c>
      <c r="C48" s="28">
        <f t="shared" si="4"/>
        <v>2.1994000000000003E-2</v>
      </c>
      <c r="D48" s="28">
        <f t="shared" si="5"/>
        <v>0.10423900959316662</v>
      </c>
      <c r="E48" s="28">
        <f t="shared" si="6"/>
        <v>0.55336758179088452</v>
      </c>
      <c r="F48" s="28">
        <f t="shared" si="7"/>
        <v>5.2061429459837348E-2</v>
      </c>
      <c r="G48" s="28">
        <f t="shared" si="8"/>
        <v>0.15261493039680835</v>
      </c>
    </row>
    <row r="49" spans="1:12" s="28" customFormat="1" ht="12.9" customHeight="1">
      <c r="A49" s="51">
        <f>IF(A18&gt;$E$9, 0, 1/((Vin-Vout)*Vout/(2*Vin*Lout*0.000001*('Efficiency Summary'!$E$9-'Efficiency Summary'!A18))))</f>
        <v>2.9838111751937979E-6</v>
      </c>
      <c r="B49" s="51">
        <f>1/(1/(Fs*1000)+2*'Efficiency Summary'!A49)</f>
        <v>107515.8332116621</v>
      </c>
      <c r="C49" s="28">
        <f t="shared" si="4"/>
        <v>2.8992000000000004E-2</v>
      </c>
      <c r="D49" s="28">
        <f t="shared" si="5"/>
        <v>0.1042620352206232</v>
      </c>
      <c r="E49" s="28">
        <f t="shared" si="6"/>
        <v>0.55348981660330832</v>
      </c>
      <c r="F49" s="28">
        <f t="shared" si="7"/>
        <v>5.2434410116406809E-2</v>
      </c>
      <c r="G49" s="28">
        <f t="shared" si="8"/>
        <v>0.15368935158312513</v>
      </c>
    </row>
    <row r="50" spans="1:12" s="28" customFormat="1" ht="12.9" customHeight="1">
      <c r="A50" s="51">
        <f>IF(A19&gt;$E$9, 0, 1/((Vin-Vout)*Vout/(2*Vin*Lout*0.000001*('Efficiency Summary'!$E$9-'Efficiency Summary'!A19))))</f>
        <v>2.8994445891472867E-6</v>
      </c>
      <c r="B50" s="51">
        <f>1/(1/(Fs*1000)+2*'Efficiency Summary'!A50)</f>
        <v>109502.3690812085</v>
      </c>
      <c r="C50" s="28">
        <f t="shared" si="4"/>
        <v>3.5990000000000001E-2</v>
      </c>
      <c r="D50" s="28">
        <f t="shared" si="5"/>
        <v>0.10428506457774248</v>
      </c>
      <c r="E50" s="28">
        <f t="shared" si="6"/>
        <v>0.55361207121517608</v>
      </c>
      <c r="F50" s="28">
        <f t="shared" si="7"/>
        <v>5.2901549018377944E-2</v>
      </c>
      <c r="G50" s="28">
        <f t="shared" si="8"/>
        <v>0.15503945732528623</v>
      </c>
    </row>
    <row r="51" spans="1:12" s="28" customFormat="1" ht="12.9" customHeight="1">
      <c r="A51" s="51">
        <f>IF(A20&gt;$E$9, 0, 1/((Vin-Vout)*Vout/(2*Vin*Lout*0.000001*('Efficiency Summary'!$E$9-'Efficiency Summary'!A20))))</f>
        <v>2.477611658914729E-6</v>
      </c>
      <c r="B51" s="51">
        <f>1/(1/(Fs*1000)+2*'Efficiency Summary'!A51)</f>
        <v>120648.26749536798</v>
      </c>
      <c r="C51" s="28">
        <f t="shared" si="4"/>
        <v>7.0980000000000001E-2</v>
      </c>
      <c r="D51" s="28">
        <f t="shared" si="5"/>
        <v>0.10440026734000948</v>
      </c>
      <c r="E51" s="28">
        <f t="shared" si="6"/>
        <v>0.55422364143461822</v>
      </c>
      <c r="F51" s="28">
        <f t="shared" si="7"/>
        <v>5.655366995048626E-2</v>
      </c>
      <c r="G51" s="28">
        <f t="shared" si="8"/>
        <v>0.16564066492124493</v>
      </c>
    </row>
    <row r="52" spans="1:12" s="28" customFormat="1" ht="12.9" customHeight="1">
      <c r="A52" s="51">
        <f>IF(A21&gt;$E$9, 0, 1/((Vin-Vout)*Vout/(2*Vin*Lout*0.000001*('Efficiency Summary'!$E$9-'Efficiency Summary'!A21))))</f>
        <v>1.6339457984496125E-6</v>
      </c>
      <c r="B52" s="51">
        <f>1/(1/(Fs*1000)+2*'Efficiency Summary'!A52)</f>
        <v>151487.0362044716</v>
      </c>
      <c r="C52" s="28">
        <f t="shared" si="4"/>
        <v>0.14096</v>
      </c>
      <c r="D52" s="28">
        <f t="shared" si="5"/>
        <v>0.10463095311101851</v>
      </c>
      <c r="E52" s="28">
        <f t="shared" si="6"/>
        <v>0.55544826960170324</v>
      </c>
      <c r="F52" s="28">
        <f t="shared" si="7"/>
        <v>6.9058482135228041E-2</v>
      </c>
      <c r="G52" s="28">
        <f t="shared" si="8"/>
        <v>0.20201702732395002</v>
      </c>
    </row>
    <row r="53" spans="1:12" s="28" customFormat="1" ht="12.9" customHeight="1">
      <c r="A53" s="51">
        <f>IF(A22&gt;$E$9, 0, 1/((Vin-Vout)*Vout/(2*Vin*Lout*0.000001*('Efficiency Summary'!$E$9-'Efficiency Summary'!A22))))</f>
        <v>7.9027993798449648E-7</v>
      </c>
      <c r="B53" s="51">
        <f>1/(1/(Fs*1000)+2*'Efficiency Summary'!A53)</f>
        <v>203504.62604822865</v>
      </c>
      <c r="C53" s="28">
        <f t="shared" si="4"/>
        <v>0.21093999999999999</v>
      </c>
      <c r="D53" s="28">
        <f t="shared" si="5"/>
        <v>0.10486201330209552</v>
      </c>
      <c r="E53" s="28">
        <f t="shared" si="6"/>
        <v>0.5566748854308774</v>
      </c>
      <c r="F53" s="28">
        <f t="shared" si="7"/>
        <v>8.5871148996600213E-2</v>
      </c>
      <c r="G53" s="28">
        <f t="shared" si="8"/>
        <v>0.25088989625423413</v>
      </c>
    </row>
    <row r="54" spans="1:12" s="28" customFormat="1" ht="12.9" customHeight="1">
      <c r="A54" s="51">
        <f>IF(A23&gt;$E$9, 0, 1/((Vin-Vout)*Vout/(2*Vin*Lout*0.000001*('Efficiency Summary'!$E$9-'Efficiency Summary'!A23))))</f>
        <v>0</v>
      </c>
      <c r="B54" s="51">
        <f>1/(1/(Fs*1000)+2*'Efficiency Summary'!A54)</f>
        <v>300000</v>
      </c>
      <c r="C54" s="28">
        <f t="shared" si="4"/>
        <v>0.35090000000000005</v>
      </c>
      <c r="D54" s="28">
        <f t="shared" si="5"/>
        <v>0.10532526059664993</v>
      </c>
      <c r="E54" s="28">
        <f t="shared" si="6"/>
        <v>0.55913409946369708</v>
      </c>
      <c r="F54" s="28">
        <f t="shared" si="7"/>
        <v>0.12535062530072827</v>
      </c>
      <c r="G54" s="28">
        <f t="shared" si="8"/>
        <v>0.36533629599129591</v>
      </c>
    </row>
    <row r="55" spans="1:12" s="28" customFormat="1" ht="22.5" customHeight="1">
      <c r="A55" s="51">
        <f>IF(A24&gt;$E$9, 0, 1/((Vin-Vout)*Vout/(2*Vin*Lout*0.000001*('Efficiency Summary'!$E$9-'Efficiency Summary'!A24))))</f>
        <v>0</v>
      </c>
      <c r="B55" s="51">
        <f>1/(1/(Fs*1000)+2*'Efficiency Summary'!A55)</f>
        <v>300000</v>
      </c>
      <c r="C55" s="28">
        <f t="shared" si="4"/>
        <v>0.52585000000000004</v>
      </c>
      <c r="D55" s="28">
        <f t="shared" ref="D55:D71" si="9">Vout/Vin*(1+(Ron_l+DCR)/1000*A24/Vout)/(1-A24*(Ron_u-Ron_l)/1000/Vin)</f>
        <v>0.10590644214126338</v>
      </c>
      <c r="E55" s="28">
        <f t="shared" si="6"/>
        <v>0.56221938420670681</v>
      </c>
      <c r="F55" s="28">
        <f t="shared" si="7"/>
        <v>0.1790941950103794</v>
      </c>
      <c r="G55" s="28">
        <f t="shared" si="8"/>
        <v>0.52036946311737475</v>
      </c>
    </row>
    <row r="56" spans="1:12" s="28" customFormat="1" ht="20.25" customHeight="1">
      <c r="A56" s="51">
        <f>IF(A25&gt;$E$9, 0, 1/((Vin-Vout)*Vout/(2*Vin*Lout*0.000001*('Efficiency Summary'!$E$9-'Efficiency Summary'!A25))))</f>
        <v>0</v>
      </c>
      <c r="B56" s="51">
        <f>1/(1/(Fs*1000)+2*'Efficiency Summary'!A56)</f>
        <v>300000</v>
      </c>
      <c r="C56" s="28">
        <f t="shared" si="4"/>
        <v>0.70080000000000009</v>
      </c>
      <c r="D56" s="28">
        <f t="shared" si="9"/>
        <v>0.10648999541065161</v>
      </c>
      <c r="E56" s="28">
        <f t="shared" si="6"/>
        <v>0.56531725958740986</v>
      </c>
      <c r="F56" s="28">
        <f t="shared" si="7"/>
        <v>0.23480943921224987</v>
      </c>
      <c r="G56" s="28">
        <f t="shared" si="8"/>
        <v>0.6801596388023774</v>
      </c>
      <c r="I56" s="68"/>
      <c r="J56" s="68"/>
      <c r="K56" s="68"/>
      <c r="L56" s="68"/>
    </row>
    <row r="57" spans="1:12" s="28" customFormat="1" ht="12.9" customHeight="1">
      <c r="A57" s="51">
        <f>IF(A26&gt;$E$9, 0, 1/((Vin-Vout)*Vout/(2*Vin*Lout*0.000001*('Efficiency Summary'!$E$9-'Efficiency Summary'!A26))))</f>
        <v>0</v>
      </c>
      <c r="B57" s="51">
        <f>1/(1/(Fs*1000)+2*'Efficiency Summary'!A57)</f>
        <v>300000</v>
      </c>
      <c r="C57" s="28">
        <f t="shared" si="4"/>
        <v>0.87575000000000003</v>
      </c>
      <c r="D57" s="28">
        <f t="shared" si="9"/>
        <v>0.10707593495253953</v>
      </c>
      <c r="E57" s="28">
        <f t="shared" si="6"/>
        <v>0.56842780283446903</v>
      </c>
      <c r="F57" s="28">
        <f t="shared" si="7"/>
        <v>0.29155397504042713</v>
      </c>
      <c r="G57" s="28">
        <f t="shared" si="8"/>
        <v>0.84193835248850679</v>
      </c>
      <c r="I57" s="68"/>
      <c r="J57" s="68"/>
      <c r="K57" s="68"/>
      <c r="L57" s="68"/>
    </row>
    <row r="58" spans="1:12" s="28" customFormat="1" ht="12.9" customHeight="1">
      <c r="A58" s="51">
        <f>IF(A27&gt;$E$9, 0, 1/((Vin-Vout)*Vout/(2*Vin*Lout*0.000001*('Efficiency Summary'!$E$9-'Efficiency Summary'!A27))))</f>
        <v>0</v>
      </c>
      <c r="B58" s="51">
        <f>1/(1/(Fs*1000)+2*'Efficiency Summary'!A58)</f>
        <v>300000</v>
      </c>
      <c r="C58" s="28">
        <f t="shared" si="4"/>
        <v>1.0507</v>
      </c>
      <c r="D58" s="28">
        <f t="shared" si="9"/>
        <v>0.1076642754338732</v>
      </c>
      <c r="E58" s="28">
        <f t="shared" si="6"/>
        <v>0.5715510918094503</v>
      </c>
      <c r="F58" s="28">
        <f t="shared" si="7"/>
        <v>0.34898292147462356</v>
      </c>
      <c r="G58" s="28">
        <f t="shared" si="8"/>
        <v>1.0046909797203405</v>
      </c>
      <c r="I58" s="68"/>
      <c r="J58" s="68"/>
      <c r="K58" s="68"/>
      <c r="L58" s="68"/>
    </row>
    <row r="59" spans="1:12" s="28" customFormat="1" ht="12.9" customHeight="1">
      <c r="A59" s="51">
        <f>IF(A28&gt;$E$9, 0, 1/((Vin-Vout)*Vout/(2*Vin*Lout*0.000001*('Efficiency Summary'!$E$9-'Efficiency Summary'!A28))))</f>
        <v>0</v>
      </c>
      <c r="B59" s="51">
        <f>1/(1/(Fs*1000)+2*'Efficiency Summary'!A59)</f>
        <v>300000</v>
      </c>
      <c r="C59" s="28">
        <f t="shared" si="4"/>
        <v>1.2256499999999999</v>
      </c>
      <c r="D59" s="28">
        <f t="shared" si="9"/>
        <v>0.10825503164204368</v>
      </c>
      <c r="E59" s="28">
        <f t="shared" si="6"/>
        <v>0.57468720501331838</v>
      </c>
      <c r="F59" s="28">
        <f t="shared" si="7"/>
        <v>0.40694232539291664</v>
      </c>
      <c r="G59" s="28">
        <f t="shared" si="8"/>
        <v>1.1679631764761711</v>
      </c>
      <c r="I59" s="68"/>
      <c r="J59" s="69"/>
      <c r="K59" s="68"/>
      <c r="L59" s="68"/>
    </row>
    <row r="60" spans="1:12" s="28" customFormat="1" ht="12.9" customHeight="1">
      <c r="A60" s="51">
        <f>IF(A29&gt;$E$9, 0, 1/((Vin-Vout)*Vout/(2*Vin*Lout*0.000001*('Efficiency Summary'!$E$9-'Efficiency Summary'!A29))))</f>
        <v>0</v>
      </c>
      <c r="B60" s="51">
        <f>1/(1/(Fs*1000)+2*'Efficiency Summary'!A60)</f>
        <v>300000</v>
      </c>
      <c r="C60" s="28">
        <f t="shared" si="4"/>
        <v>1.4006000000000001</v>
      </c>
      <c r="D60" s="28">
        <f t="shared" si="9"/>
        <v>0.10884821848612594</v>
      </c>
      <c r="E60" s="28">
        <f t="shared" si="6"/>
        <v>0.57783622159301429</v>
      </c>
      <c r="F60" s="28">
        <f t="shared" si="7"/>
        <v>0.46535369991089698</v>
      </c>
      <c r="G60" s="28">
        <f t="shared" si="8"/>
        <v>1.3315220059120241</v>
      </c>
      <c r="I60" s="68"/>
      <c r="J60" s="69"/>
      <c r="K60" s="68"/>
      <c r="L60" s="68"/>
    </row>
    <row r="61" spans="1:12" s="28" customFormat="1" ht="12.9" customHeight="1">
      <c r="A61" s="51">
        <f>IF(A30&gt;$E$9, 0, 1/((Vin-Vout)*Vout/(2*Vin*Lout*0.000001*('Efficiency Summary'!$E$9-'Efficiency Summary'!A30))))</f>
        <v>0</v>
      </c>
      <c r="B61" s="51">
        <f>1/(1/(Fs*1000)+2*'Efficiency Summary'!A61)</f>
        <v>300000</v>
      </c>
      <c r="C61" s="28">
        <f t="shared" si="4"/>
        <v>1.57555</v>
      </c>
      <c r="D61" s="28">
        <f t="shared" si="9"/>
        <v>0.10944385099813315</v>
      </c>
      <c r="E61" s="28">
        <f t="shared" si="6"/>
        <v>0.5809982213481143</v>
      </c>
      <c r="F61" s="28">
        <f t="shared" si="7"/>
        <v>0.52417310428900343</v>
      </c>
      <c r="G61" s="28">
        <f t="shared" si="8"/>
        <v>1.4952358577631941</v>
      </c>
      <c r="I61" s="68"/>
      <c r="J61" s="68"/>
      <c r="K61" s="68"/>
      <c r="L61" s="68"/>
    </row>
    <row r="62" spans="1:12" s="29" customFormat="1" ht="12.9" customHeight="1">
      <c r="A62" s="51">
        <f>IF(A31&gt;$E$9, 0, 1/((Vin-Vout)*Vout/(2*Vin*Lout*0.000001*('Efficiency Summary'!$E$9-'Efficiency Summary'!A31))))</f>
        <v>0</v>
      </c>
      <c r="B62" s="51">
        <f>1/(1/(Fs*1000)+2*'Efficiency Summary'!A62)</f>
        <v>300000</v>
      </c>
      <c r="C62" s="28">
        <f t="shared" si="4"/>
        <v>1.7504999999999999</v>
      </c>
      <c r="D62" s="28">
        <f t="shared" si="9"/>
        <v>0.11004194433428632</v>
      </c>
      <c r="E62" s="28">
        <f t="shared" si="6"/>
        <v>0.58417328473756935</v>
      </c>
      <c r="F62" s="28">
        <f t="shared" si="7"/>
        <v>0.58337419423739212</v>
      </c>
      <c r="G62" s="28">
        <f t="shared" si="8"/>
        <v>1.659024714015626</v>
      </c>
      <c r="I62" s="68"/>
      <c r="J62" s="68"/>
      <c r="K62" s="68"/>
      <c r="L62" s="68"/>
    </row>
    <row r="63" spans="1:12" s="29" customFormat="1" ht="12.9" customHeight="1">
      <c r="A63" s="51">
        <f>IF(A32&gt;$E$9, 0, 1/((Vin-Vout)*Vout/(2*Vin*Lout*0.000001*('Efficiency Summary'!$E$9-'Efficiency Summary'!A32))))</f>
        <v>0</v>
      </c>
      <c r="B63" s="51">
        <f>1/(1/(Fs*1000)+2*'Efficiency Summary'!A63)</f>
        <v>300000</v>
      </c>
      <c r="C63" s="28">
        <f t="shared" si="4"/>
        <v>1.9254500000000001</v>
      </c>
      <c r="D63" s="28">
        <f t="shared" si="9"/>
        <v>0.11064251377630005</v>
      </c>
      <c r="E63" s="28">
        <f t="shared" si="6"/>
        <v>0.58736149288653106</v>
      </c>
      <c r="F63" s="28">
        <f t="shared" si="7"/>
        <v>0.64294034577657766</v>
      </c>
      <c r="G63" s="28">
        <f t="shared" si="8"/>
        <v>1.8228370400422125</v>
      </c>
      <c r="I63" s="68"/>
      <c r="J63" s="68"/>
      <c r="K63" s="68"/>
      <c r="L63" s="68"/>
    </row>
    <row r="64" spans="1:12" s="29" customFormat="1" ht="12.9" customHeight="1">
      <c r="A64" s="51">
        <f>IF(A33&gt;$E$9, 0, 1/((Vin-Vout)*Vout/(2*Vin*Lout*0.000001*('Efficiency Summary'!$E$9-'Efficiency Summary'!A33))))</f>
        <v>0</v>
      </c>
      <c r="B64" s="51">
        <f>1/(1/(Fs*1000)+2*'Efficiency Summary'!A64)</f>
        <v>300000</v>
      </c>
      <c r="C64" s="28">
        <f t="shared" si="4"/>
        <v>2.1004</v>
      </c>
      <c r="D64" s="28">
        <f t="shared" si="9"/>
        <v>0.11124557473268389</v>
      </c>
      <c r="E64" s="28">
        <f t="shared" si="6"/>
        <v>0.59056292759326012</v>
      </c>
      <c r="F64" s="28">
        <f t="shared" si="7"/>
        <v>0.70286065797975594</v>
      </c>
      <c r="G64" s="28">
        <f t="shared" si="8"/>
        <v>1.9866380570580937</v>
      </c>
      <c r="I64" s="68"/>
      <c r="J64" s="68"/>
      <c r="K64" s="68"/>
      <c r="L64" s="68"/>
    </row>
    <row r="65" spans="1:17" s="29" customFormat="1" ht="12.9" customHeight="1">
      <c r="A65" s="51">
        <f>IF(A34&gt;$E$9, 0, 1/((Vin-Vout)*Vout/(2*Vin*Lout*0.000001*('Efficiency Summary'!$E$9-'Efficiency Summary'!A34))))</f>
        <v>0</v>
      </c>
      <c r="B65" s="51">
        <f>1/(1/(Fs*1000)+2*'Efficiency Summary'!A65)</f>
        <v>300000</v>
      </c>
      <c r="C65" s="28">
        <f t="shared" si="4"/>
        <v>2.27535</v>
      </c>
      <c r="D65" s="28">
        <f t="shared" si="9"/>
        <v>0.11185114274006019</v>
      </c>
      <c r="E65" s="28">
        <f t="shared" si="6"/>
        <v>0.59377767133612203</v>
      </c>
      <c r="F65" s="28">
        <f t="shared" si="7"/>
        <v>0.76312777763460127</v>
      </c>
      <c r="G65" s="28">
        <f t="shared" si="8"/>
        <v>2.1504033600894323</v>
      </c>
      <c r="I65" s="52"/>
      <c r="J65" s="68"/>
      <c r="K65" s="68"/>
      <c r="L65" s="68"/>
    </row>
    <row r="66" spans="1:17" s="29" customFormat="1" ht="12.9" customHeight="1">
      <c r="A66" s="51">
        <f>IF(A35&gt;$E$9, 0, 1/((Vin-Vout)*Vout/(2*Vin*Lout*0.000001*('Efficiency Summary'!$E$9-'Efficiency Summary'!A35))))</f>
        <v>0</v>
      </c>
      <c r="B66" s="51">
        <f>1/(1/(Fs*1000)+2*'Efficiency Summary'!A66)</f>
        <v>300000</v>
      </c>
      <c r="C66" s="28">
        <f t="shared" si="4"/>
        <v>2.4502999999999999</v>
      </c>
      <c r="D66" s="28">
        <f t="shared" si="9"/>
        <v>0.11245923346449853</v>
      </c>
      <c r="E66" s="28">
        <f t="shared" si="6"/>
        <v>0.59700580728067121</v>
      </c>
      <c r="F66" s="28">
        <f t="shared" si="7"/>
        <v>0.82373664640193411</v>
      </c>
      <c r="G66" s="28">
        <f t="shared" si="8"/>
        <v>2.3141152424202498</v>
      </c>
      <c r="I66" s="52"/>
      <c r="J66" s="68"/>
      <c r="K66" s="68"/>
      <c r="L66" s="68"/>
    </row>
    <row r="67" spans="1:17" s="29" customFormat="1" ht="12.9" customHeight="1">
      <c r="A67" s="51">
        <f>IF(A36&gt;$E$9, 0, 1/((Vin-Vout)*Vout/(2*Vin*Lout*0.000001*('Efficiency Summary'!$E$9-'Efficiency Summary'!A36))))</f>
        <v>0</v>
      </c>
      <c r="B67" s="51">
        <f>1/(1/(Fs*1000)+2*'Efficiency Summary'!A67)</f>
        <v>300000</v>
      </c>
      <c r="C67" s="28">
        <f t="shared" si="4"/>
        <v>2.6252499999999999</v>
      </c>
      <c r="D67" s="28">
        <f t="shared" si="9"/>
        <v>0.1130698627028663</v>
      </c>
      <c r="E67" s="28">
        <f t="shared" si="6"/>
        <v>0.60024741928682113</v>
      </c>
      <c r="F67" s="28">
        <f t="shared" si="7"/>
        <v>0.88468374460762922</v>
      </c>
      <c r="G67" s="28">
        <f t="shared" si="8"/>
        <v>2.477760477035071</v>
      </c>
      <c r="J67" s="68"/>
      <c r="K67" s="68"/>
      <c r="L67" s="68"/>
    </row>
    <row r="68" spans="1:17" s="29" customFormat="1" ht="12.9" customHeight="1">
      <c r="A68" s="51">
        <f>IF(A37&gt;$E$9, 0, 1/((Vin-Vout)*Vout/(2*Vin*Lout*0.000001*('Efficiency Summary'!$E$9-'Efficiency Summary'!A37))))</f>
        <v>0</v>
      </c>
      <c r="B68" s="51">
        <f>1/(1/(Fs*1000)+2*'Efficiency Summary'!A68)</f>
        <v>300000</v>
      </c>
      <c r="C68" s="28">
        <f t="shared" si="4"/>
        <v>2.8002000000000002</v>
      </c>
      <c r="D68" s="28">
        <f t="shared" si="9"/>
        <v>0.11368304638419702</v>
      </c>
      <c r="E68" s="28">
        <f t="shared" si="6"/>
        <v>0.60350259191610756</v>
      </c>
      <c r="F68" s="28">
        <f t="shared" si="7"/>
        <v>0.94596661640790436</v>
      </c>
      <c r="G68" s="28">
        <f t="shared" si="8"/>
        <v>2.6413289235116548</v>
      </c>
      <c r="J68" s="68"/>
      <c r="K68" s="68"/>
      <c r="L68" s="68"/>
    </row>
    <row r="69" spans="1:17" s="29" customFormat="1" ht="12.9" customHeight="1">
      <c r="A69" s="51">
        <f>IF(A38&gt;$E$9, 0, 1/((Vin-Vout)*Vout/(2*Vin*Lout*0.000001*('Efficiency Summary'!$E$9-'Efficiency Summary'!A38))))</f>
        <v>0</v>
      </c>
      <c r="B69" s="51">
        <f>1/(1/(Fs*1000)+2*'Efficiency Summary'!A69)</f>
        <v>300000</v>
      </c>
      <c r="C69" s="28">
        <f t="shared" si="4"/>
        <v>2.9751499999999997</v>
      </c>
      <c r="D69" s="28">
        <f t="shared" si="9"/>
        <v>0.11429880057107522</v>
      </c>
      <c r="E69" s="28">
        <f t="shared" si="6"/>
        <v>0.60677141043904137</v>
      </c>
      <c r="F69" s="28">
        <f t="shared" si="7"/>
        <v>1.0075835614069848</v>
      </c>
      <c r="G69" s="28">
        <f t="shared" si="8"/>
        <v>2.8048126232114439</v>
      </c>
      <c r="J69" s="68"/>
      <c r="K69" s="68"/>
      <c r="L69" s="68"/>
    </row>
    <row r="70" spans="1:17" s="29" customFormat="1" ht="12.9" customHeight="1">
      <c r="A70" s="51">
        <f>IF(A39&gt;$E$9, 0, 1/((Vin-Vout)*Vout/(2*Vin*Lout*0.000001*('Efficiency Summary'!$E$9-'Efficiency Summary'!A39))))</f>
        <v>0</v>
      </c>
      <c r="B70" s="51">
        <f>1/(1/(Fs*1000)+2*'Efficiency Summary'!A70)</f>
        <v>300000</v>
      </c>
      <c r="C70" s="28">
        <f t="shared" si="4"/>
        <v>3.1501000000000001</v>
      </c>
      <c r="D70" s="28">
        <f t="shared" si="9"/>
        <v>0.11491714146103901</v>
      </c>
      <c r="E70" s="28">
        <f t="shared" si="6"/>
        <v>0.61005396084255281</v>
      </c>
      <c r="F70" s="28">
        <f t="shared" si="7"/>
        <v>1.069533428457986</v>
      </c>
      <c r="G70" s="28">
        <f t="shared" si="8"/>
        <v>2.9682051942219019</v>
      </c>
      <c r="J70" s="68"/>
      <c r="K70" s="68"/>
      <c r="L70" s="68"/>
    </row>
    <row r="71" spans="1:17" s="29" customFormat="1" ht="12.9" customHeight="1">
      <c r="A71" s="51">
        <f>IF(A40&gt;$E$9, 0, 1/((Vin-Vout)*Vout/(2*Vin*Lout*0.000001*('Efficiency Summary'!$E$9-'Efficiency Summary'!A40))))</f>
        <v>0</v>
      </c>
      <c r="B71" s="51">
        <f>1/(1/(Fs*1000)+2*'Efficiency Summary'!A71)</f>
        <v>300000</v>
      </c>
      <c r="C71" s="28">
        <f t="shared" si="4"/>
        <v>3.5</v>
      </c>
      <c r="D71" s="28">
        <f t="shared" si="9"/>
        <v>0.11616164882368414</v>
      </c>
      <c r="E71" s="28">
        <f t="shared" si="6"/>
        <v>0.61666060486647134</v>
      </c>
      <c r="F71" s="28">
        <f t="shared" si="7"/>
        <v>1.1944292640669241</v>
      </c>
      <c r="G71" s="28">
        <f t="shared" si="8"/>
        <v>3.2946969397715584</v>
      </c>
      <c r="J71" s="68"/>
      <c r="K71" s="68"/>
      <c r="L71" s="68"/>
    </row>
    <row r="72" spans="1:17" s="29" customFormat="1" ht="12.9" customHeight="1">
      <c r="J72" s="68"/>
      <c r="K72" s="68"/>
      <c r="L72" s="68"/>
    </row>
    <row r="73" spans="1:17" s="29" customFormat="1" ht="12.9" customHeight="1">
      <c r="J73" s="68"/>
      <c r="K73" s="68"/>
      <c r="L73" s="68"/>
    </row>
    <row r="74" spans="1:17" s="29" customFormat="1" ht="12.9" customHeight="1"/>
    <row r="75" spans="1:17" s="29" customFormat="1" ht="12.9" customHeight="1">
      <c r="B75" s="63"/>
    </row>
    <row r="76" spans="1:17" s="29" customFormat="1" ht="12.9" customHeight="1"/>
    <row r="77" spans="1:17" s="29" customFormat="1" ht="12.9" customHeight="1">
      <c r="B77" s="63"/>
    </row>
    <row r="78" spans="1:17" s="29" customFormat="1" ht="12.9" customHeight="1"/>
    <row r="79" spans="1:17" s="29" customFormat="1" ht="12.9" customHeight="1"/>
    <row r="80" spans="1:17" s="29" customFormat="1" ht="12.9" customHeight="1">
      <c r="C80" s="63"/>
      <c r="D80" s="63"/>
      <c r="E80" s="63"/>
      <c r="F80" s="63"/>
      <c r="G80" s="63"/>
      <c r="H80" s="63"/>
      <c r="J80" s="63"/>
      <c r="Q80" s="63"/>
    </row>
    <row r="81" spans="3:17" s="29" customFormat="1" ht="12.9" customHeight="1">
      <c r="C81" s="63"/>
      <c r="D81" s="63"/>
      <c r="E81" s="63"/>
      <c r="F81" s="63"/>
      <c r="G81" s="63"/>
      <c r="H81" s="63"/>
      <c r="J81" s="63"/>
      <c r="Q81" s="63"/>
    </row>
    <row r="82" spans="3:17" s="29" customFormat="1" ht="12.9" customHeight="1">
      <c r="C82" s="63"/>
      <c r="D82" s="63"/>
      <c r="E82" s="63"/>
      <c r="F82" s="63"/>
      <c r="G82" s="63"/>
      <c r="H82" s="63"/>
      <c r="J82" s="63"/>
      <c r="Q82" s="63"/>
    </row>
    <row r="83" spans="3:17" s="29" customFormat="1" ht="12.9" customHeight="1">
      <c r="C83" s="63"/>
      <c r="D83" s="63"/>
      <c r="E83" s="63"/>
      <c r="F83" s="63"/>
      <c r="G83" s="63"/>
      <c r="H83" s="63"/>
      <c r="J83" s="63"/>
      <c r="Q83" s="63"/>
    </row>
    <row r="84" spans="3:17" s="29" customFormat="1" ht="12.9" customHeight="1">
      <c r="C84" s="63"/>
      <c r="D84" s="63"/>
      <c r="E84" s="63"/>
      <c r="F84" s="63"/>
      <c r="G84" s="63"/>
      <c r="H84" s="63"/>
      <c r="J84" s="63"/>
      <c r="Q84" s="63"/>
    </row>
    <row r="85" spans="3:17" s="29" customFormat="1" ht="12.9" customHeight="1">
      <c r="C85" s="63"/>
      <c r="D85" s="63"/>
      <c r="E85" s="63"/>
      <c r="F85" s="63"/>
      <c r="G85" s="63"/>
      <c r="H85" s="63"/>
      <c r="J85" s="63"/>
      <c r="Q85" s="63"/>
    </row>
    <row r="86" spans="3:17" s="29" customFormat="1" ht="12.9" customHeight="1">
      <c r="C86" s="63"/>
      <c r="D86" s="63"/>
      <c r="E86" s="63"/>
      <c r="F86" s="63"/>
      <c r="G86" s="63"/>
      <c r="H86" s="63"/>
      <c r="J86" s="63"/>
      <c r="Q86" s="63"/>
    </row>
    <row r="87" spans="3:17" s="29" customFormat="1" ht="12.9" customHeight="1">
      <c r="C87" s="63"/>
      <c r="D87" s="63"/>
      <c r="E87" s="63"/>
      <c r="F87" s="63"/>
      <c r="G87" s="63"/>
      <c r="H87" s="63"/>
      <c r="J87" s="63"/>
      <c r="Q87" s="63"/>
    </row>
    <row r="88" spans="3:17" s="29" customFormat="1" ht="12.9" customHeight="1">
      <c r="C88" s="63"/>
      <c r="D88" s="63"/>
      <c r="E88" s="63"/>
      <c r="F88" s="63"/>
      <c r="G88" s="63"/>
      <c r="H88" s="63"/>
      <c r="J88" s="63"/>
      <c r="Q88" s="63"/>
    </row>
    <row r="89" spans="3:17" s="29" customFormat="1" ht="12.9" customHeight="1">
      <c r="C89" s="63"/>
      <c r="D89" s="63"/>
      <c r="E89" s="63"/>
      <c r="F89" s="63"/>
      <c r="G89" s="63"/>
      <c r="H89" s="63"/>
      <c r="J89" s="63"/>
      <c r="Q89" s="63"/>
    </row>
    <row r="90" spans="3:17" s="29" customFormat="1" ht="12.9" customHeight="1">
      <c r="C90" s="63"/>
      <c r="D90" s="63"/>
      <c r="E90" s="63"/>
      <c r="F90" s="63"/>
      <c r="G90" s="63"/>
      <c r="H90" s="63"/>
      <c r="J90" s="63"/>
      <c r="Q90" s="63"/>
    </row>
    <row r="91" spans="3:17" s="29" customFormat="1" ht="12.9" customHeight="1">
      <c r="C91" s="63"/>
      <c r="D91" s="63"/>
      <c r="E91" s="63"/>
      <c r="F91" s="63"/>
      <c r="G91" s="63"/>
      <c r="H91" s="63"/>
      <c r="J91" s="63"/>
      <c r="Q91" s="63"/>
    </row>
    <row r="92" spans="3:17" s="29" customFormat="1" ht="12.9" customHeight="1">
      <c r="C92" s="63"/>
      <c r="D92" s="63"/>
      <c r="E92" s="63"/>
      <c r="F92" s="63"/>
      <c r="G92" s="63"/>
      <c r="H92" s="63"/>
      <c r="J92" s="63"/>
      <c r="Q92" s="63"/>
    </row>
    <row r="93" spans="3:17" s="29" customFormat="1" ht="12.9" customHeight="1">
      <c r="C93" s="63"/>
      <c r="D93" s="63"/>
      <c r="E93" s="63"/>
      <c r="F93" s="63"/>
      <c r="G93" s="63"/>
      <c r="H93" s="63"/>
      <c r="J93" s="63"/>
      <c r="Q93" s="63"/>
    </row>
    <row r="94" spans="3:17" s="29" customFormat="1" ht="12.9" customHeight="1">
      <c r="C94" s="63"/>
      <c r="D94" s="63"/>
      <c r="E94" s="63"/>
      <c r="F94" s="63"/>
      <c r="G94" s="63"/>
      <c r="H94" s="63"/>
      <c r="J94" s="63"/>
      <c r="Q94" s="63"/>
    </row>
    <row r="95" spans="3:17" s="29" customFormat="1" ht="12.9" customHeight="1">
      <c r="C95" s="63"/>
      <c r="D95" s="63"/>
      <c r="E95" s="63"/>
      <c r="F95" s="63"/>
      <c r="G95" s="63"/>
      <c r="H95" s="63"/>
      <c r="J95" s="63"/>
      <c r="Q95" s="63"/>
    </row>
    <row r="96" spans="3:17" s="29" customFormat="1" ht="12.9" customHeight="1">
      <c r="C96" s="63"/>
      <c r="D96" s="63"/>
      <c r="E96" s="63"/>
      <c r="F96" s="63"/>
      <c r="G96" s="63"/>
      <c r="H96" s="63"/>
      <c r="J96" s="63"/>
      <c r="Q96" s="63"/>
    </row>
    <row r="97" spans="3:17" s="29" customFormat="1" ht="12.9" customHeight="1">
      <c r="C97" s="63"/>
      <c r="D97" s="63"/>
      <c r="E97" s="63"/>
      <c r="F97" s="63"/>
      <c r="G97" s="63"/>
      <c r="H97" s="63"/>
      <c r="J97" s="63"/>
      <c r="Q97" s="63"/>
    </row>
    <row r="98" spans="3:17" s="29" customFormat="1" ht="12.9" customHeight="1">
      <c r="C98" s="63"/>
      <c r="D98" s="63"/>
      <c r="E98" s="63"/>
      <c r="F98" s="63"/>
      <c r="G98" s="63"/>
      <c r="H98" s="63"/>
      <c r="J98" s="63"/>
      <c r="Q98" s="63"/>
    </row>
    <row r="99" spans="3:17" s="29" customFormat="1" ht="12.9" customHeight="1">
      <c r="C99" s="63"/>
      <c r="D99" s="63"/>
      <c r="E99" s="63"/>
      <c r="F99" s="63"/>
      <c r="G99" s="63"/>
      <c r="H99" s="63"/>
      <c r="J99" s="63"/>
      <c r="Q99" s="63"/>
    </row>
    <row r="100" spans="3:17" s="29" customFormat="1" ht="12.9" customHeight="1">
      <c r="C100" s="63"/>
      <c r="D100" s="63"/>
      <c r="E100" s="63"/>
      <c r="F100" s="63"/>
      <c r="G100" s="63"/>
      <c r="H100" s="63"/>
      <c r="J100" s="63"/>
      <c r="Q100" s="63"/>
    </row>
    <row r="101" spans="3:17" s="29" customFormat="1" ht="12.9" customHeight="1">
      <c r="C101" s="63"/>
      <c r="D101" s="63"/>
      <c r="E101" s="63"/>
      <c r="F101" s="63"/>
      <c r="G101" s="63"/>
      <c r="H101" s="63"/>
      <c r="J101" s="63"/>
      <c r="Q101" s="63"/>
    </row>
    <row r="102" spans="3:17" s="29" customFormat="1" ht="12.9" customHeight="1">
      <c r="C102" s="63"/>
      <c r="D102" s="63"/>
      <c r="E102" s="63"/>
      <c r="F102" s="63"/>
      <c r="G102" s="63"/>
      <c r="H102" s="63"/>
      <c r="J102" s="63"/>
      <c r="Q102" s="63"/>
    </row>
    <row r="103" spans="3:17" s="29" customFormat="1" ht="12.9" customHeight="1">
      <c r="C103" s="63"/>
      <c r="D103" s="63"/>
      <c r="E103" s="63"/>
      <c r="F103" s="63"/>
      <c r="G103" s="63"/>
      <c r="H103" s="63"/>
      <c r="J103" s="63"/>
      <c r="Q103" s="63"/>
    </row>
    <row r="104" spans="3:17" s="29" customFormat="1" ht="12.9" customHeight="1">
      <c r="C104" s="63"/>
      <c r="D104" s="63"/>
      <c r="E104" s="63"/>
      <c r="F104" s="63"/>
      <c r="G104" s="63"/>
      <c r="H104" s="63"/>
      <c r="J104" s="63"/>
      <c r="Q104" s="63"/>
    </row>
    <row r="105" spans="3:17" s="29" customFormat="1" ht="12.9" customHeight="1">
      <c r="C105" s="63"/>
      <c r="D105" s="63"/>
      <c r="E105" s="63"/>
      <c r="F105" s="63"/>
      <c r="G105" s="63"/>
      <c r="H105" s="63"/>
      <c r="J105" s="63"/>
      <c r="Q105" s="63"/>
    </row>
    <row r="106" spans="3:17" s="29" customFormat="1" ht="12.9" customHeight="1">
      <c r="C106" s="63"/>
      <c r="D106" s="63"/>
      <c r="E106" s="63"/>
      <c r="F106" s="63"/>
      <c r="G106" s="63"/>
      <c r="H106" s="63"/>
      <c r="J106" s="63"/>
      <c r="Q106" s="63"/>
    </row>
    <row r="107" spans="3:17" s="29" customFormat="1" ht="12.9" customHeight="1">
      <c r="C107" s="63"/>
      <c r="D107" s="63"/>
      <c r="E107" s="63"/>
      <c r="F107" s="63"/>
      <c r="G107" s="63"/>
      <c r="H107" s="63"/>
      <c r="J107" s="63"/>
      <c r="Q107" s="63"/>
    </row>
    <row r="108" spans="3:17" s="29" customFormat="1" ht="12.9" customHeight="1">
      <c r="C108" s="63"/>
      <c r="D108" s="63"/>
      <c r="E108" s="63"/>
      <c r="F108" s="63"/>
      <c r="G108" s="63"/>
      <c r="H108" s="63"/>
      <c r="J108" s="63"/>
      <c r="Q108" s="63"/>
    </row>
    <row r="109" spans="3:17" s="29" customFormat="1" ht="12.9" customHeight="1">
      <c r="C109" s="63"/>
      <c r="D109" s="63"/>
      <c r="E109" s="63"/>
      <c r="F109" s="63"/>
      <c r="G109" s="63"/>
      <c r="H109" s="63"/>
      <c r="J109" s="63"/>
      <c r="Q109" s="63"/>
    </row>
    <row r="110" spans="3:17" s="29" customFormat="1" ht="12.9" customHeight="1">
      <c r="C110" s="63"/>
      <c r="D110" s="63"/>
      <c r="E110" s="63"/>
      <c r="F110" s="63"/>
      <c r="G110" s="63"/>
      <c r="H110" s="63"/>
      <c r="J110" s="63"/>
      <c r="Q110" s="63"/>
    </row>
    <row r="111" spans="3:17" s="29" customFormat="1" ht="12.9" customHeight="1">
      <c r="C111" s="63"/>
      <c r="D111" s="63"/>
      <c r="E111" s="63"/>
      <c r="F111" s="63"/>
      <c r="G111" s="63"/>
      <c r="H111" s="63"/>
      <c r="J111" s="63"/>
      <c r="Q111" s="63"/>
    </row>
    <row r="112" spans="3:17" s="29" customFormat="1" ht="12.9" customHeight="1">
      <c r="C112" s="63"/>
      <c r="D112" s="63"/>
      <c r="E112" s="63"/>
      <c r="F112" s="63"/>
      <c r="G112" s="63"/>
      <c r="H112" s="63"/>
      <c r="J112" s="63"/>
      <c r="Q112" s="63"/>
    </row>
    <row r="113" spans="1:18" s="29" customFormat="1" ht="12.9" customHeight="1">
      <c r="C113" s="63"/>
      <c r="D113" s="63"/>
      <c r="E113" s="63"/>
      <c r="F113" s="63"/>
      <c r="G113" s="63"/>
      <c r="H113" s="63"/>
      <c r="J113" s="63"/>
      <c r="Q113" s="63"/>
    </row>
    <row r="114" spans="1:18" s="29" customFormat="1" ht="12.9" customHeight="1">
      <c r="C114" s="63"/>
      <c r="D114" s="63"/>
      <c r="E114" s="63"/>
      <c r="F114" s="63"/>
      <c r="G114" s="63"/>
      <c r="H114" s="63"/>
      <c r="J114" s="63"/>
      <c r="Q114" s="63"/>
    </row>
    <row r="115" spans="1:18" s="29" customFormat="1" ht="12.9" customHeight="1">
      <c r="C115" s="63"/>
      <c r="D115" s="63"/>
      <c r="E115" s="63"/>
      <c r="F115" s="63"/>
      <c r="G115" s="63"/>
      <c r="H115" s="63"/>
      <c r="J115" s="63"/>
      <c r="Q115" s="63"/>
    </row>
    <row r="116" spans="1:18" s="29" customFormat="1" ht="12.9" customHeight="1">
      <c r="C116" s="63"/>
      <c r="D116" s="63"/>
      <c r="E116" s="63"/>
      <c r="F116" s="63"/>
      <c r="G116" s="63"/>
      <c r="H116" s="63"/>
      <c r="J116" s="63"/>
      <c r="Q116" s="63"/>
    </row>
    <row r="117" spans="1:18" s="29" customFormat="1" ht="12.9" customHeight="1">
      <c r="C117" s="63"/>
      <c r="D117" s="63"/>
      <c r="E117" s="63"/>
      <c r="F117" s="63"/>
      <c r="G117" s="63"/>
      <c r="H117" s="63"/>
      <c r="J117" s="63"/>
      <c r="Q117" s="63"/>
    </row>
    <row r="118" spans="1:18" s="29" customFormat="1" ht="12.9" customHeight="1">
      <c r="C118" s="63"/>
      <c r="D118" s="63"/>
      <c r="E118" s="63"/>
      <c r="F118" s="63"/>
      <c r="G118" s="63"/>
      <c r="H118" s="63"/>
      <c r="J118" s="63"/>
      <c r="Q118" s="63"/>
    </row>
    <row r="119" spans="1:18" s="29" customFormat="1" ht="12.9" customHeight="1">
      <c r="C119" s="63"/>
      <c r="D119" s="63"/>
      <c r="E119" s="63"/>
      <c r="F119" s="63"/>
      <c r="G119" s="63"/>
      <c r="H119" s="63"/>
      <c r="J119" s="63"/>
      <c r="Q119" s="63"/>
    </row>
    <row r="120" spans="1:18" s="29" customFormat="1" ht="12.9" customHeight="1">
      <c r="C120" s="63"/>
      <c r="D120" s="63"/>
      <c r="E120" s="63"/>
      <c r="F120" s="63"/>
      <c r="G120" s="63"/>
      <c r="H120" s="63"/>
      <c r="J120" s="63"/>
      <c r="Q120" s="63"/>
    </row>
    <row r="121" spans="1:18" s="29" customFormat="1" ht="12.9" customHeight="1">
      <c r="C121" s="63"/>
      <c r="D121" s="63"/>
      <c r="E121" s="63"/>
      <c r="F121" s="63"/>
      <c r="G121" s="63"/>
      <c r="H121" s="63"/>
      <c r="J121" s="63"/>
      <c r="Q121" s="63"/>
    </row>
    <row r="122" spans="1:18" s="29" customFormat="1" ht="12.9" customHeight="1">
      <c r="C122" s="63"/>
      <c r="D122" s="63"/>
      <c r="E122" s="63"/>
      <c r="F122" s="63"/>
      <c r="G122" s="63"/>
      <c r="H122" s="63"/>
      <c r="J122" s="63"/>
      <c r="Q122" s="63"/>
    </row>
    <row r="123" spans="1:18" s="29" customFormat="1" ht="12.9" customHeight="1">
      <c r="C123" s="63"/>
      <c r="D123" s="63"/>
      <c r="E123" s="63"/>
      <c r="F123" s="63"/>
      <c r="G123" s="63"/>
      <c r="H123" s="63"/>
      <c r="J123" s="63"/>
      <c r="Q123" s="63"/>
    </row>
    <row r="124" spans="1:18" s="29" customFormat="1" ht="12.9" customHeight="1"/>
    <row r="125" spans="1:18" s="27" customFormat="1" ht="12.9" customHeight="1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</row>
    <row r="126" spans="1:18" s="27" customFormat="1" ht="12.9" customHeight="1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</row>
    <row r="127" spans="1:18" ht="12.9" customHeight="1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</row>
    <row r="128" spans="1:18" ht="12.9" customHeight="1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</row>
    <row r="129" spans="1:18" ht="12.9" customHeight="1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</row>
    <row r="130" spans="1:18" ht="12.9" customHeight="1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</row>
    <row r="131" spans="1:18" ht="12.9" customHeight="1">
      <c r="A131" s="12"/>
      <c r="B131" s="12"/>
      <c r="C131" s="12"/>
      <c r="D131" s="12"/>
      <c r="E131" s="12"/>
      <c r="F131" s="12"/>
      <c r="G131" s="12"/>
      <c r="H131" s="12"/>
      <c r="I131" s="12"/>
      <c r="J131" s="12"/>
    </row>
    <row r="132" spans="1:18" ht="12.9" customHeight="1">
      <c r="A132" s="12"/>
      <c r="B132" s="12"/>
      <c r="C132" s="12"/>
      <c r="D132" s="12"/>
      <c r="E132" s="12"/>
      <c r="F132" s="12"/>
      <c r="G132" s="12"/>
      <c r="H132" s="12"/>
      <c r="I132" s="12"/>
      <c r="J132" s="12"/>
    </row>
    <row r="133" spans="1:18" ht="12.9" customHeight="1">
      <c r="A133" s="12"/>
      <c r="B133" s="12"/>
      <c r="C133" s="12"/>
      <c r="D133" s="12"/>
      <c r="E133" s="12"/>
      <c r="F133" s="12"/>
      <c r="G133" s="12"/>
      <c r="H133" s="12"/>
      <c r="I133" s="12"/>
      <c r="J133" s="12"/>
    </row>
    <row r="134" spans="1:18" ht="12.9" customHeight="1">
      <c r="A134" s="12"/>
      <c r="B134" s="12"/>
      <c r="C134" s="12"/>
      <c r="D134" s="12"/>
      <c r="E134" s="12"/>
      <c r="F134" s="12"/>
      <c r="G134" s="12"/>
      <c r="H134" s="12"/>
      <c r="I134" s="12"/>
      <c r="J134" s="12"/>
    </row>
    <row r="135" spans="1:18" ht="12.9" customHeight="1">
      <c r="A135" s="12"/>
      <c r="B135" s="12"/>
      <c r="C135" s="12"/>
      <c r="D135" s="12"/>
      <c r="E135" s="12"/>
      <c r="F135" s="12"/>
      <c r="G135" s="12"/>
      <c r="H135" s="12"/>
      <c r="I135" s="12"/>
      <c r="J135" s="12"/>
    </row>
    <row r="136" spans="1:18" ht="12.9" customHeight="1">
      <c r="A136" s="12"/>
      <c r="B136" s="12"/>
      <c r="C136" s="12"/>
      <c r="D136" s="12"/>
      <c r="E136" s="12"/>
      <c r="F136" s="12"/>
      <c r="G136" s="12"/>
      <c r="H136" s="12"/>
      <c r="I136" s="12"/>
      <c r="J136" s="12"/>
    </row>
    <row r="137" spans="1:18" ht="12.9" customHeight="1">
      <c r="A137" s="12"/>
      <c r="B137" s="12"/>
      <c r="C137" s="12"/>
      <c r="D137" s="12"/>
      <c r="E137" s="12"/>
      <c r="F137" s="12"/>
      <c r="G137" s="12"/>
      <c r="H137" s="12"/>
      <c r="I137" s="12"/>
      <c r="J137" s="12"/>
    </row>
    <row r="138" spans="1:18" ht="12.9" customHeight="1">
      <c r="A138" s="12"/>
      <c r="B138" s="12"/>
      <c r="C138" s="12"/>
      <c r="D138" s="12"/>
      <c r="E138" s="12"/>
      <c r="F138" s="12"/>
      <c r="G138" s="12"/>
      <c r="H138" s="12"/>
      <c r="I138" s="12"/>
      <c r="J138" s="12"/>
    </row>
    <row r="139" spans="1:18" ht="12.9" customHeight="1">
      <c r="A139" s="12"/>
      <c r="B139" s="12"/>
      <c r="C139" s="12"/>
      <c r="D139" s="12"/>
      <c r="E139" s="12"/>
      <c r="F139" s="12"/>
      <c r="G139" s="12"/>
      <c r="H139" s="12"/>
      <c r="I139" s="12"/>
      <c r="J139" s="12"/>
    </row>
    <row r="140" spans="1:18" ht="12.9" customHeight="1">
      <c r="A140" s="12"/>
      <c r="B140" s="12"/>
      <c r="C140" s="12"/>
      <c r="D140" s="12"/>
      <c r="E140" s="12"/>
      <c r="F140" s="12"/>
      <c r="G140" s="12"/>
      <c r="H140" s="12"/>
      <c r="I140" s="12"/>
      <c r="J140" s="12"/>
    </row>
    <row r="141" spans="1:18" ht="12.9" customHeight="1">
      <c r="A141" s="12"/>
      <c r="B141" s="12"/>
      <c r="C141" s="12"/>
      <c r="D141" s="12"/>
      <c r="E141" s="12"/>
      <c r="F141" s="12"/>
      <c r="G141" s="12"/>
      <c r="H141" s="12"/>
      <c r="I141" s="12"/>
      <c r="J141" s="12"/>
    </row>
    <row r="142" spans="1:18" ht="12.9" customHeight="1">
      <c r="A142" s="12"/>
      <c r="B142" s="12"/>
      <c r="C142" s="12"/>
      <c r="D142" s="12"/>
      <c r="E142" s="12"/>
      <c r="F142" s="12"/>
      <c r="G142" s="12"/>
      <c r="H142" s="12"/>
      <c r="I142" s="12"/>
      <c r="J142" s="12"/>
    </row>
    <row r="143" spans="1:18" ht="12.9" customHeight="1">
      <c r="A143" s="12"/>
      <c r="B143" s="12"/>
      <c r="C143" s="12"/>
      <c r="D143" s="12"/>
      <c r="E143" s="12"/>
      <c r="F143" s="12"/>
      <c r="G143" s="12"/>
      <c r="H143" s="12"/>
      <c r="I143" s="12"/>
      <c r="J143" s="12"/>
    </row>
    <row r="144" spans="1:18" ht="12.9" customHeight="1">
      <c r="A144" s="12"/>
      <c r="B144" s="12"/>
      <c r="C144" s="12"/>
      <c r="D144" s="12"/>
      <c r="E144" s="12"/>
      <c r="F144" s="12"/>
      <c r="G144" s="12"/>
      <c r="H144" s="12"/>
      <c r="I144" s="12"/>
      <c r="J144" s="12"/>
    </row>
    <row r="145" spans="1:10" ht="12.9" customHeight="1">
      <c r="A145" s="12"/>
      <c r="B145" s="12"/>
      <c r="C145" s="12"/>
      <c r="D145" s="12"/>
      <c r="E145" s="12"/>
      <c r="F145" s="12"/>
      <c r="G145" s="12"/>
      <c r="H145" s="12"/>
      <c r="I145" s="12"/>
      <c r="J145" s="12"/>
    </row>
    <row r="146" spans="1:10" ht="12.9" customHeight="1">
      <c r="A146" s="12"/>
      <c r="B146" s="12"/>
      <c r="C146" s="12"/>
      <c r="D146" s="12"/>
      <c r="E146" s="12"/>
      <c r="F146" s="12"/>
      <c r="G146" s="12"/>
      <c r="H146" s="12"/>
      <c r="I146" s="12"/>
      <c r="J146" s="12"/>
    </row>
    <row r="147" spans="1:10" ht="12.9" customHeight="1">
      <c r="A147" s="12"/>
      <c r="B147" s="12"/>
      <c r="C147" s="12"/>
      <c r="D147" s="12"/>
      <c r="E147" s="12"/>
      <c r="F147" s="12"/>
      <c r="G147" s="12"/>
      <c r="H147" s="12"/>
      <c r="I147" s="12"/>
      <c r="J147" s="12"/>
    </row>
    <row r="148" spans="1:10" ht="12.9" customHeight="1">
      <c r="A148" s="12"/>
      <c r="B148" s="12"/>
      <c r="C148" s="12"/>
      <c r="D148" s="12"/>
      <c r="E148" s="12"/>
      <c r="F148" s="12"/>
      <c r="G148" s="12"/>
      <c r="H148" s="12"/>
      <c r="I148" s="12"/>
      <c r="J148" s="12"/>
    </row>
    <row r="149" spans="1:10" ht="12.9" customHeight="1">
      <c r="A149" s="12"/>
      <c r="B149" s="12"/>
      <c r="C149" s="12"/>
      <c r="D149" s="12"/>
      <c r="E149" s="12"/>
      <c r="F149" s="12"/>
      <c r="G149" s="12"/>
      <c r="H149" s="12"/>
      <c r="I149" s="12"/>
      <c r="J149" s="12"/>
    </row>
    <row r="150" spans="1:10" ht="12.9" customHeight="1">
      <c r="A150" s="12"/>
      <c r="B150" s="12"/>
      <c r="C150" s="12"/>
      <c r="D150" s="12"/>
      <c r="E150" s="12"/>
      <c r="F150" s="12"/>
      <c r="G150" s="12"/>
      <c r="H150" s="12"/>
      <c r="I150" s="12"/>
      <c r="J150" s="12"/>
    </row>
    <row r="151" spans="1:10" ht="12.9" customHeight="1">
      <c r="A151" s="12"/>
      <c r="B151" s="12"/>
      <c r="C151" s="12"/>
      <c r="D151" s="12"/>
      <c r="E151" s="12"/>
      <c r="F151" s="12"/>
      <c r="G151" s="12"/>
      <c r="H151" s="12"/>
      <c r="I151" s="12"/>
      <c r="J151" s="12"/>
    </row>
    <row r="152" spans="1:10" ht="12.9" customHeight="1">
      <c r="A152" s="12"/>
      <c r="B152" s="12"/>
      <c r="C152" s="12"/>
      <c r="D152" s="12"/>
      <c r="E152" s="12"/>
      <c r="F152" s="12"/>
      <c r="G152" s="12"/>
      <c r="H152" s="12"/>
      <c r="I152" s="12"/>
      <c r="J152" s="12"/>
    </row>
    <row r="153" spans="1:10" ht="12.9" customHeight="1">
      <c r="A153" s="12"/>
      <c r="B153" s="12"/>
      <c r="C153" s="12"/>
      <c r="D153" s="12"/>
      <c r="E153" s="12"/>
      <c r="F153" s="12"/>
      <c r="G153" s="12"/>
      <c r="H153" s="12"/>
      <c r="I153" s="12"/>
      <c r="J153" s="12"/>
    </row>
    <row r="154" spans="1:10" ht="12.9" customHeight="1">
      <c r="A154" s="12"/>
      <c r="B154" s="12"/>
      <c r="C154" s="12"/>
      <c r="D154" s="12"/>
      <c r="E154" s="12"/>
      <c r="F154" s="12"/>
      <c r="G154" s="12"/>
      <c r="H154" s="12"/>
      <c r="I154" s="12"/>
      <c r="J154" s="12"/>
    </row>
    <row r="155" spans="1:10" ht="12.9" customHeight="1">
      <c r="A155" s="12"/>
      <c r="B155" s="12"/>
      <c r="C155" s="12"/>
      <c r="D155" s="12"/>
      <c r="E155" s="12"/>
      <c r="F155" s="12"/>
      <c r="G155" s="12"/>
      <c r="H155" s="12"/>
      <c r="I155" s="12"/>
      <c r="J155" s="12"/>
    </row>
    <row r="156" spans="1:10" ht="12.9" customHeight="1">
      <c r="A156" s="12"/>
      <c r="B156" s="12"/>
      <c r="C156" s="12"/>
      <c r="D156" s="12"/>
      <c r="E156" s="12"/>
      <c r="F156" s="12"/>
      <c r="G156" s="12"/>
      <c r="H156" s="12"/>
      <c r="I156" s="12"/>
      <c r="J156" s="12"/>
    </row>
    <row r="157" spans="1:10" ht="12.9" customHeight="1">
      <c r="A157" s="12"/>
      <c r="B157" s="12"/>
      <c r="C157" s="12"/>
      <c r="D157" s="12"/>
      <c r="E157" s="12"/>
      <c r="F157" s="12"/>
      <c r="G157" s="12"/>
      <c r="H157" s="12"/>
      <c r="I157" s="12"/>
      <c r="J157" s="12"/>
    </row>
    <row r="158" spans="1:10" ht="12.9" customHeight="1">
      <c r="A158" s="12"/>
      <c r="B158" s="12"/>
      <c r="C158" s="12"/>
      <c r="D158" s="12"/>
      <c r="E158" s="12"/>
      <c r="F158" s="12"/>
      <c r="G158" s="12"/>
      <c r="H158" s="12"/>
      <c r="I158" s="12"/>
      <c r="J158" s="12"/>
    </row>
    <row r="159" spans="1:10" ht="12.9" customHeight="1">
      <c r="A159" s="12"/>
      <c r="B159" s="12"/>
      <c r="C159" s="12"/>
      <c r="D159" s="12"/>
      <c r="E159" s="12"/>
      <c r="F159" s="12"/>
      <c r="G159" s="12"/>
      <c r="H159" s="12"/>
      <c r="I159" s="12"/>
      <c r="J159" s="12"/>
    </row>
    <row r="160" spans="1:10" ht="12.9" customHeight="1">
      <c r="A160" s="12"/>
      <c r="B160" s="12"/>
      <c r="C160" s="12"/>
      <c r="D160" s="12"/>
      <c r="E160" s="12"/>
      <c r="F160" s="12"/>
      <c r="G160" s="12"/>
      <c r="H160" s="12"/>
      <c r="I160" s="12"/>
      <c r="J160" s="12"/>
    </row>
    <row r="161" spans="1:10" ht="12.9" customHeight="1">
      <c r="A161" s="12"/>
      <c r="B161" s="12"/>
      <c r="C161" s="12"/>
      <c r="D161" s="12"/>
      <c r="E161" s="12"/>
      <c r="F161" s="12"/>
      <c r="G161" s="12"/>
      <c r="H161" s="12"/>
      <c r="I161" s="12"/>
      <c r="J161" s="12"/>
    </row>
    <row r="162" spans="1:10" ht="12.9" customHeight="1">
      <c r="A162" s="12"/>
      <c r="B162" s="12"/>
      <c r="C162" s="12"/>
      <c r="D162" s="12"/>
      <c r="E162" s="12"/>
      <c r="F162" s="12"/>
      <c r="G162" s="12"/>
      <c r="H162" s="12"/>
      <c r="I162" s="12"/>
      <c r="J162" s="12"/>
    </row>
    <row r="163" spans="1:10" ht="12.9" customHeight="1">
      <c r="A163" s="12"/>
      <c r="B163" s="12"/>
      <c r="C163" s="12"/>
      <c r="D163" s="12"/>
      <c r="E163" s="12"/>
      <c r="F163" s="12"/>
      <c r="G163" s="12"/>
      <c r="H163" s="12"/>
      <c r="I163" s="12"/>
      <c r="J163" s="12"/>
    </row>
    <row r="164" spans="1:10" ht="12.9" customHeight="1">
      <c r="A164" s="12"/>
      <c r="B164" s="12"/>
      <c r="C164" s="12"/>
      <c r="D164" s="12"/>
      <c r="E164" s="12"/>
      <c r="F164" s="12"/>
      <c r="G164" s="12"/>
      <c r="H164" s="12"/>
      <c r="I164" s="12"/>
      <c r="J164" s="12"/>
    </row>
    <row r="165" spans="1:10" ht="12.9" customHeight="1">
      <c r="A165" s="12"/>
      <c r="B165" s="12"/>
      <c r="C165" s="12"/>
      <c r="D165" s="12"/>
      <c r="E165" s="12"/>
      <c r="F165" s="12"/>
      <c r="G165" s="12"/>
      <c r="H165" s="12"/>
      <c r="I165" s="12"/>
      <c r="J165" s="12"/>
    </row>
    <row r="166" spans="1:10" ht="12.9" customHeight="1">
      <c r="A166" s="12"/>
      <c r="B166" s="12"/>
      <c r="C166" s="12"/>
      <c r="D166" s="12"/>
      <c r="E166" s="12"/>
      <c r="F166" s="12"/>
      <c r="G166" s="12"/>
      <c r="H166" s="12"/>
      <c r="I166" s="12"/>
      <c r="J166" s="12"/>
    </row>
    <row r="167" spans="1:10" ht="12.9" customHeight="1">
      <c r="A167" s="12"/>
      <c r="B167" s="12"/>
      <c r="C167" s="12"/>
      <c r="D167" s="12"/>
      <c r="E167" s="12"/>
      <c r="F167" s="12"/>
      <c r="G167" s="12"/>
      <c r="H167" s="12"/>
      <c r="I167" s="12"/>
      <c r="J167" s="12"/>
    </row>
    <row r="168" spans="1:10" ht="12.9" customHeight="1">
      <c r="A168" s="12"/>
      <c r="B168" s="12"/>
      <c r="C168" s="12"/>
      <c r="D168" s="12"/>
      <c r="E168" s="12"/>
      <c r="F168" s="12"/>
      <c r="G168" s="12"/>
      <c r="H168" s="12"/>
      <c r="I168" s="12"/>
      <c r="J168" s="12"/>
    </row>
    <row r="169" spans="1:10" ht="12.9" customHeight="1">
      <c r="A169" s="12"/>
      <c r="B169" s="12"/>
      <c r="C169" s="12"/>
      <c r="D169" s="12"/>
      <c r="E169" s="12"/>
      <c r="F169" s="12"/>
      <c r="G169" s="12"/>
      <c r="H169" s="12"/>
      <c r="I169" s="12"/>
      <c r="J169" s="12"/>
    </row>
    <row r="170" spans="1:10" ht="12.9" customHeight="1">
      <c r="A170" s="12"/>
      <c r="B170" s="12"/>
      <c r="C170" s="12"/>
      <c r="D170" s="12"/>
      <c r="E170" s="12"/>
      <c r="F170" s="12"/>
      <c r="G170" s="12"/>
      <c r="H170" s="12"/>
      <c r="I170" s="12"/>
      <c r="J170" s="12"/>
    </row>
    <row r="171" spans="1:10" ht="12.9" customHeight="1">
      <c r="A171" s="12"/>
      <c r="B171" s="12"/>
      <c r="C171" s="12"/>
      <c r="D171" s="12"/>
      <c r="E171" s="12"/>
      <c r="F171" s="12"/>
      <c r="G171" s="12"/>
      <c r="H171" s="12"/>
      <c r="I171" s="12"/>
      <c r="J171" s="12"/>
    </row>
    <row r="172" spans="1:10" ht="12.9" customHeight="1">
      <c r="A172" s="12"/>
      <c r="B172" s="12"/>
      <c r="C172" s="12"/>
      <c r="D172" s="12"/>
      <c r="E172" s="12"/>
      <c r="F172" s="12"/>
      <c r="G172" s="12"/>
      <c r="H172" s="12"/>
      <c r="I172" s="12"/>
      <c r="J172" s="12"/>
    </row>
    <row r="173" spans="1:10" ht="12.9" customHeight="1">
      <c r="A173" s="12"/>
      <c r="B173" s="12"/>
      <c r="C173" s="12"/>
      <c r="D173" s="12"/>
      <c r="E173" s="12"/>
      <c r="F173" s="12"/>
      <c r="G173" s="12"/>
      <c r="H173" s="12"/>
      <c r="I173" s="12"/>
      <c r="J173" s="12"/>
    </row>
    <row r="174" spans="1:10" ht="12.9" customHeight="1">
      <c r="A174" s="12"/>
      <c r="B174" s="12"/>
      <c r="C174" s="12"/>
      <c r="D174" s="12"/>
      <c r="E174" s="12"/>
      <c r="F174" s="12"/>
      <c r="G174" s="12"/>
      <c r="H174" s="12"/>
      <c r="I174" s="12"/>
      <c r="J174" s="12"/>
    </row>
    <row r="175" spans="1:10" ht="12.9" customHeight="1">
      <c r="A175" s="12"/>
      <c r="B175" s="12"/>
      <c r="C175" s="12"/>
      <c r="D175" s="12"/>
      <c r="E175" s="12"/>
      <c r="F175" s="12"/>
      <c r="G175" s="12"/>
      <c r="H175" s="12"/>
      <c r="I175" s="12"/>
      <c r="J175" s="12"/>
    </row>
    <row r="176" spans="1:10" ht="12.9" customHeight="1">
      <c r="A176" s="12"/>
      <c r="B176" s="12"/>
      <c r="C176" s="12"/>
      <c r="D176" s="12"/>
      <c r="E176" s="12"/>
      <c r="F176" s="12"/>
      <c r="G176" s="12"/>
      <c r="H176" s="12"/>
      <c r="I176" s="12"/>
      <c r="J176" s="12"/>
    </row>
    <row r="177" spans="1:10" ht="12.9" customHeight="1">
      <c r="A177" s="12"/>
      <c r="B177" s="12"/>
      <c r="C177" s="12"/>
      <c r="D177" s="12"/>
      <c r="E177" s="12"/>
      <c r="F177" s="12"/>
      <c r="G177" s="12"/>
      <c r="H177" s="12"/>
      <c r="I177" s="12"/>
      <c r="J177" s="12"/>
    </row>
    <row r="178" spans="1:10" ht="12.9" customHeight="1">
      <c r="A178" s="12"/>
      <c r="B178" s="12"/>
      <c r="C178" s="12"/>
      <c r="D178" s="12"/>
      <c r="E178" s="12"/>
      <c r="F178" s="12"/>
      <c r="G178" s="12"/>
      <c r="H178" s="12"/>
      <c r="I178" s="12"/>
      <c r="J178" s="12"/>
    </row>
    <row r="179" spans="1:10" ht="12.9" customHeight="1">
      <c r="A179" s="12"/>
      <c r="B179" s="12"/>
      <c r="C179" s="12"/>
      <c r="D179" s="12"/>
      <c r="E179" s="12"/>
      <c r="F179" s="12"/>
      <c r="G179" s="12"/>
      <c r="H179" s="12"/>
      <c r="I179" s="12"/>
      <c r="J179" s="12"/>
    </row>
    <row r="180" spans="1:10" ht="12.9" customHeight="1">
      <c r="A180" s="12"/>
      <c r="B180" s="12"/>
      <c r="C180" s="12"/>
      <c r="D180" s="12"/>
      <c r="E180" s="12"/>
      <c r="F180" s="12"/>
      <c r="G180" s="12"/>
      <c r="H180" s="12"/>
      <c r="I180" s="12"/>
      <c r="J180" s="12"/>
    </row>
    <row r="181" spans="1:10" ht="12.9" customHeight="1">
      <c r="A181" s="12"/>
      <c r="B181" s="12"/>
      <c r="C181" s="12"/>
      <c r="D181" s="12"/>
      <c r="E181" s="12"/>
      <c r="F181" s="12"/>
      <c r="G181" s="12"/>
      <c r="H181" s="12"/>
      <c r="I181" s="12"/>
      <c r="J181" s="12"/>
    </row>
    <row r="182" spans="1:10" ht="12.9" customHeight="1">
      <c r="A182" s="12"/>
      <c r="B182" s="12"/>
      <c r="C182" s="12"/>
      <c r="D182" s="12"/>
      <c r="E182" s="12"/>
      <c r="F182" s="12"/>
      <c r="G182" s="12"/>
      <c r="H182" s="12"/>
      <c r="I182" s="12"/>
      <c r="J182" s="12"/>
    </row>
    <row r="183" spans="1:10" ht="12.9" customHeight="1">
      <c r="A183" s="12"/>
      <c r="B183" s="12"/>
      <c r="C183" s="12"/>
      <c r="D183" s="12"/>
      <c r="E183" s="12"/>
      <c r="F183" s="12"/>
      <c r="G183" s="12"/>
      <c r="H183" s="12"/>
      <c r="I183" s="12"/>
      <c r="J183" s="12"/>
    </row>
    <row r="184" spans="1:10" ht="12.9" customHeight="1">
      <c r="A184" s="12"/>
      <c r="B184" s="12"/>
      <c r="C184" s="12"/>
      <c r="D184" s="12"/>
      <c r="E184" s="12"/>
      <c r="F184" s="12"/>
      <c r="G184" s="12"/>
      <c r="H184" s="12"/>
      <c r="I184" s="12"/>
      <c r="J184" s="12"/>
    </row>
  </sheetData>
  <sheetProtection algorithmName="SHA-512" hashValue="54CU2JjuONzBDgXxeunwT/chFCQ8e5vrd/SvhqYndTBa/8sbnqSz+BwAaVGV9auLeQznft14eViedVvNXskmOA==" saltValue="XjJi7G16BPTl5ZtWS+OuMA==" spinCount="100000" sheet="1" objects="1" scenarios="1" selectLockedCells="1"/>
  <pageMargins left="0.7" right="0.7" top="0.75" bottom="0.75" header="0.3" footer="0.3"/>
  <pageSetup orientation="portrait" verticalDpi="598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811F03CB163C409265418EEAD5F1DD" ma:contentTypeVersion="" ma:contentTypeDescription="Create a new document." ma:contentTypeScope="" ma:versionID="677ec429b4030f9f3095eb71a1d36f71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2384c6cc0088fcedbaf6edaf557defa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A5A5084-D1FD-404F-A600-5026D18DB0D6}"/>
</file>

<file path=customXml/itemProps2.xml><?xml version="1.0" encoding="utf-8"?>
<ds:datastoreItem xmlns:ds="http://schemas.openxmlformats.org/officeDocument/2006/customXml" ds:itemID="{E9E3B017-0C78-429E-94D7-362A6B5DBD44}"/>
</file>

<file path=customXml/itemProps3.xml><?xml version="1.0" encoding="utf-8"?>
<ds:datastoreItem xmlns:ds="http://schemas.openxmlformats.org/officeDocument/2006/customXml" ds:itemID="{1668038E-1689-439B-8C8E-26B7CEF63FB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21</vt:i4>
      </vt:variant>
    </vt:vector>
  </HeadingPairs>
  <TitlesOfParts>
    <vt:vector size="23" baseType="lpstr">
      <vt:lpstr>Power Loss</vt:lpstr>
      <vt:lpstr>Efficiency Summary</vt:lpstr>
      <vt:lpstr>Cap</vt:lpstr>
      <vt:lpstr>D</vt:lpstr>
      <vt:lpstr>DCR</vt:lpstr>
      <vt:lpstr>Efficiency</vt:lpstr>
      <vt:lpstr>ESR</vt:lpstr>
      <vt:lpstr>Fs</vt:lpstr>
      <vt:lpstr>Il_rms</vt:lpstr>
      <vt:lpstr>Imax</vt:lpstr>
      <vt:lpstr>Imin</vt:lpstr>
      <vt:lpstr>Iout</vt:lpstr>
      <vt:lpstr>Irip</vt:lpstr>
      <vt:lpstr>Iu_rms</vt:lpstr>
      <vt:lpstr>LIR</vt:lpstr>
      <vt:lpstr>Lout</vt:lpstr>
      <vt:lpstr>ncap</vt:lpstr>
      <vt:lpstr>Ron_l</vt:lpstr>
      <vt:lpstr>Ron_u</vt:lpstr>
      <vt:lpstr>Rout</vt:lpstr>
      <vt:lpstr>Tloss</vt:lpstr>
      <vt:lpstr>Vin</vt:lpstr>
      <vt:lpstr>Vout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 Bui/Analog/DAL</dc:creator>
  <cp:lastModifiedBy>Tu Bui</cp:lastModifiedBy>
  <dcterms:created xsi:type="dcterms:W3CDTF">2016-07-07T23:05:35Z</dcterms:created>
  <dcterms:modified xsi:type="dcterms:W3CDTF">2025-06-06T20:19:58Z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0x01010084811F03CB163C409265418EEAD5F1DD</vt:lpwstr>
  </property>
</Properties>
</file>